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amirez.FAYCA\Documents\ERV documentos\UCI Contabilidad Tributaria MAF 36\"/>
    </mc:Choice>
  </mc:AlternateContent>
  <xr:revisionPtr revIDLastSave="0" documentId="8_{E85091FB-4253-4E71-AB88-05D626780F30}" xr6:coauthVersionLast="45" xr6:coauthVersionMax="45" xr10:uidLastSave="{00000000-0000-0000-0000-000000000000}"/>
  <bookViews>
    <workbookView xWindow="-120" yWindow="-120" windowWidth="20730" windowHeight="11160" activeTab="1" xr2:uid="{13AF1840-A35F-4901-8C85-518FAA31B576}"/>
  </bookViews>
  <sheets>
    <sheet name="Escenario Gan Cap" sheetId="1" r:id="rId1"/>
    <sheet name="Eje 27-3-" sheetId="2" r:id="rId2"/>
    <sheet name="Diferencial cambiario" sheetId="3" r:id="rId3"/>
    <sheet name="D-101 Proporc" sheetId="5" r:id="rId4"/>
    <sheet name="IGV" sheetId="6" r:id="rId5"/>
  </sheets>
  <externalReferences>
    <externalReference r:id="rId6"/>
    <externalReference r:id="rId7"/>
    <externalReference r:id="rId8"/>
  </externalReferences>
  <definedNames>
    <definedName name="_xlnm.Print_Area" localSheetId="3">'D-101 Proporc'!$A$1:$E$60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" i="6" l="1"/>
  <c r="M11" i="6"/>
  <c r="M12" i="6"/>
  <c r="M14" i="6"/>
  <c r="M15" i="6"/>
  <c r="M16" i="6"/>
  <c r="M20" i="6"/>
  <c r="Q17" i="6"/>
  <c r="Q16" i="6"/>
  <c r="Q18" i="6"/>
  <c r="E10" i="6"/>
  <c r="E14" i="6"/>
  <c r="E15" i="6"/>
  <c r="E16" i="6"/>
  <c r="E18" i="6"/>
  <c r="I17" i="6"/>
  <c r="E11" i="6"/>
  <c r="I16" i="6"/>
  <c r="I18" i="6"/>
  <c r="E20" i="6"/>
  <c r="E12" i="6"/>
  <c r="C30" i="5"/>
  <c r="G32" i="5"/>
  <c r="G23" i="5"/>
  <c r="E23" i="5"/>
  <c r="G24" i="5"/>
  <c r="G25" i="5"/>
  <c r="H32" i="5"/>
  <c r="C28" i="5"/>
  <c r="C54" i="5"/>
  <c r="F39" i="5"/>
  <c r="G37" i="5"/>
  <c r="E11" i="5"/>
  <c r="E13" i="5"/>
  <c r="E11" i="3"/>
  <c r="E9" i="3"/>
  <c r="F11" i="3"/>
  <c r="E7" i="3"/>
  <c r="F9" i="3"/>
  <c r="F13" i="3"/>
  <c r="D83" i="1"/>
  <c r="D84" i="1"/>
  <c r="D85" i="1"/>
  <c r="D89" i="1"/>
  <c r="D29" i="1"/>
  <c r="D47" i="1"/>
  <c r="D66" i="1"/>
  <c r="F66" i="1"/>
  <c r="M69" i="1"/>
  <c r="N67" i="1"/>
  <c r="F63" i="1"/>
  <c r="F69" i="1"/>
  <c r="D28" i="1"/>
  <c r="D30" i="1"/>
  <c r="D32" i="1"/>
  <c r="I32" i="1"/>
  <c r="J31" i="1"/>
  <c r="D36" i="1"/>
  <c r="E36" i="1"/>
  <c r="J30" i="1"/>
  <c r="D35" i="1"/>
  <c r="G8" i="2"/>
  <c r="M7" i="2"/>
  <c r="N6" i="2"/>
  <c r="G11" i="2"/>
  <c r="H11" i="2"/>
  <c r="N5" i="2"/>
  <c r="G10" i="2"/>
  <c r="N7" i="2"/>
  <c r="D11" i="1"/>
  <c r="D12" i="1"/>
  <c r="D14" i="1"/>
  <c r="I14" i="1"/>
  <c r="J13" i="1"/>
  <c r="D18" i="1"/>
  <c r="D109" i="1"/>
  <c r="D110" i="1"/>
  <c r="D111" i="1"/>
  <c r="D115" i="1"/>
  <c r="M121" i="1"/>
  <c r="N120" i="1"/>
  <c r="G115" i="1"/>
  <c r="G121" i="1"/>
  <c r="G124" i="1"/>
  <c r="N119" i="1"/>
  <c r="F115" i="1"/>
  <c r="F118" i="1"/>
  <c r="F121" i="1"/>
  <c r="D121" i="1"/>
  <c r="M95" i="1"/>
  <c r="N94" i="1"/>
  <c r="G89" i="1"/>
  <c r="G95" i="1"/>
  <c r="G98" i="1"/>
  <c r="N93" i="1"/>
  <c r="F89" i="1"/>
  <c r="D92" i="1"/>
  <c r="F92" i="1"/>
  <c r="F95" i="1"/>
  <c r="D95" i="1"/>
  <c r="N68" i="1"/>
  <c r="G63" i="1"/>
  <c r="G69" i="1"/>
  <c r="G72" i="1"/>
  <c r="D69" i="1"/>
  <c r="D50" i="1"/>
  <c r="I50" i="1"/>
  <c r="J49" i="1"/>
  <c r="D54" i="1"/>
  <c r="E54" i="1"/>
  <c r="J48" i="1"/>
  <c r="D53" i="1"/>
  <c r="E18" i="1"/>
  <c r="J12" i="1"/>
  <c r="D17" i="1"/>
  <c r="E34" i="5"/>
  <c r="E36" i="5"/>
  <c r="C37" i="5"/>
  <c r="E39" i="5"/>
  <c r="E44" i="5"/>
  <c r="E51" i="5"/>
  <c r="E55" i="5"/>
  <c r="E58" i="5"/>
  <c r="E60" i="5"/>
  <c r="G39" i="5"/>
</calcChain>
</file>

<file path=xl/sharedStrings.xml><?xml version="1.0" encoding="utf-8"?>
<sst xmlns="http://schemas.openxmlformats.org/spreadsheetml/2006/main" count="208" uniqueCount="120">
  <si>
    <t>Escenario 1</t>
  </si>
  <si>
    <t>Aplicado por DGT</t>
  </si>
  <si>
    <t>Precio de venta</t>
  </si>
  <si>
    <t>% de asignación de la ganancia fiscal</t>
  </si>
  <si>
    <t>Terreno costo histórico</t>
  </si>
  <si>
    <t>Edificio costo histórico</t>
  </si>
  <si>
    <t>Ganancia fiscal</t>
  </si>
  <si>
    <t>ISR</t>
  </si>
  <si>
    <t>Ganancia no gravable del T</t>
  </si>
  <si>
    <t>Ganancia gravable del E</t>
  </si>
  <si>
    <t>Escenario 2</t>
  </si>
  <si>
    <t>Aplicado por DGT, aceptando revaluación en terreno, caso en contencioso pero por diferencia en metraje de la propiedad</t>
  </si>
  <si>
    <t>Terreno revaluado</t>
  </si>
  <si>
    <t>Escenario 3</t>
  </si>
  <si>
    <t>Teoria recomendada basado en una asignación justa de la ganancia según avaluo y tomando en cuenta que la ganancia o pérdida</t>
  </si>
  <si>
    <t>de la venta de un AF es neta.</t>
  </si>
  <si>
    <t>Avalúo</t>
  </si>
  <si>
    <t xml:space="preserve">Terreno </t>
  </si>
  <si>
    <t xml:space="preserve">Edificio </t>
  </si>
  <si>
    <t>Escenario 4</t>
  </si>
  <si>
    <t xml:space="preserve">Teoría recomendada según sentencia 3076-2010 del TCA, asignación de los valores de venta, me parece que va </t>
  </si>
  <si>
    <t>en contra de la técnica contable, escenario 3 en el que se netea la ganancia o pérdida</t>
  </si>
  <si>
    <t>Terreno</t>
  </si>
  <si>
    <t>Edificio</t>
  </si>
  <si>
    <t>Escenario 5</t>
  </si>
  <si>
    <t>Venta del negocio en marcha</t>
  </si>
  <si>
    <t>Determinación de la plusvalía</t>
  </si>
  <si>
    <t>Precio de venta del negocio</t>
  </si>
  <si>
    <t>Terreno valor razonable</t>
  </si>
  <si>
    <t>Edificio valor razonable</t>
  </si>
  <si>
    <t>Plusvalía</t>
  </si>
  <si>
    <t>Escenario 6</t>
  </si>
  <si>
    <t>en contra de la técnica contable, escenario 3 en el que se netea la ganancia o pérdida, sin permitir el valor de la revaluación del terreno</t>
  </si>
  <si>
    <t>Datos</t>
  </si>
  <si>
    <t>Edificio valor en libros</t>
  </si>
  <si>
    <t>Ganancia no sujeta</t>
  </si>
  <si>
    <t>Ganancia sujeta</t>
  </si>
  <si>
    <t>Cuenta por cobrar</t>
  </si>
  <si>
    <t>Tipo de cambio</t>
  </si>
  <si>
    <t>US$</t>
  </si>
  <si>
    <t>Colones</t>
  </si>
  <si>
    <t>Ingreso por dif de cambio</t>
  </si>
  <si>
    <t>Diferencial cambiario</t>
  </si>
  <si>
    <t>Gasto por dif de cambio</t>
  </si>
  <si>
    <t>El RELAMPAGO, S.A.</t>
  </si>
  <si>
    <t>DECLARACION JURADA DEL IMPUESTO SOBRE LA RENTA</t>
  </si>
  <si>
    <t xml:space="preserve">PERIODO FISCAL </t>
  </si>
  <si>
    <t>1.ACTIVOS Y PASIVOS</t>
  </si>
  <si>
    <t>EFECTIVO, BANCOS, INVERSIONES TRANSITORIAS, DOCUMENTOS Y CXC</t>
  </si>
  <si>
    <t>ACCIONES Y APORTES EN SOCIEDADES</t>
  </si>
  <si>
    <t xml:space="preserve">INVENTARIOS </t>
  </si>
  <si>
    <t>ACTIVOS FIJOS (DESCUENTE LA DEPRECIACION ACUMULADA)</t>
  </si>
  <si>
    <t>TOTAL ACTIVO NETO (SUMA RENGLONES 20 AL 23)</t>
  </si>
  <si>
    <t>TOTAL PASIVOS</t>
  </si>
  <si>
    <t>CAPITAL NETO (RENGLON 24 MENOS RENGLON 25)</t>
  </si>
  <si>
    <t>II.INGRESOS</t>
  </si>
  <si>
    <t>VENTAS NETAS</t>
  </si>
  <si>
    <t>SERVICIOS PROFESIONALES Y HONORARIOS</t>
  </si>
  <si>
    <t>COMISIONES</t>
  </si>
  <si>
    <t>INTERES Y RENDIMIENTOS FINANCIEROS</t>
  </si>
  <si>
    <t>DIVIDENDOS Y PARTICIPACIONES</t>
  </si>
  <si>
    <t>ALQUILERES</t>
  </si>
  <si>
    <t>OTROS INGRESOS DIFERENTES A LOS ANTERIORES</t>
  </si>
  <si>
    <t>INGRESOS NO GRAVABLES</t>
  </si>
  <si>
    <t>TOTAL RENTA BRUTA (SUMA RENGLONES 27 AL 33 MENOS RENGLON 34)</t>
  </si>
  <si>
    <t>III.COSTOS, GASTOS Y DEDUCCIONES</t>
  </si>
  <si>
    <t>INVENTARIO INICIAL</t>
  </si>
  <si>
    <t>COMPRAS</t>
  </si>
  <si>
    <t>INVENTARIO FINAL</t>
  </si>
  <si>
    <t>COSTO DE VENTAS (VER INSTRUCCIONES)</t>
  </si>
  <si>
    <t>INTERESES Y GASTOS FINANCIEROS</t>
  </si>
  <si>
    <t>GASTOS DE VENTAS Y ADMINISTRATIVOS</t>
  </si>
  <si>
    <t>DEPRECIACIONES, AMORTIZACION Y AGOTAMIENTO</t>
  </si>
  <si>
    <t>APORTE A REGIMENES VOLUNTARIOS DE PENSIONES COMPLEMENTARIAS (MAX. 10% RENTA BRUTA)</t>
  </si>
  <si>
    <t>OTROS COSTOS, GASTOS Y DEDUCCIONES PERMITIDOS POR LEY</t>
  </si>
  <si>
    <t>TOTAL COSTOS, GASTOS Y DEDUCCIONES PERMITIDOS POR LEY (SUMA RENGLONES 39 AL44)</t>
  </si>
  <si>
    <t>IV. BASE IMPONIBLE RENTA GRAVABLE</t>
  </si>
  <si>
    <t>RENTA NETA (RENGLON 35 MENOS RENGLON 45)</t>
  </si>
  <si>
    <r>
      <t xml:space="preserve">IMPUESTO SOBRE LA RENTA </t>
    </r>
    <r>
      <rPr>
        <sz val="6"/>
        <rFont val="Arial"/>
        <family val="2"/>
      </rPr>
      <t>(SEGUN ART.15 LEY IMPTO S/RENTA RENGLON 44 PRO TARIFA IMPUESTO)</t>
    </r>
  </si>
  <si>
    <r>
      <t xml:space="preserve">IMPUESTO EXTRAORDINARIO SOBRE LA RENTA </t>
    </r>
    <r>
      <rPr>
        <sz val="6"/>
        <rFont val="Arial"/>
        <family val="2"/>
      </rPr>
      <t>(LEY N° 8343, LEY DE CONTINGENCIA FISCAL)</t>
    </r>
  </si>
  <si>
    <t>SUBTOTAL IMPUESTO ORDINARIO Y EXTRAORDINARIO (SUME RENGLONES 47 Y 48)</t>
  </si>
  <si>
    <t>PRUEBA</t>
  </si>
  <si>
    <t>EXONERACION CONTRATO TURISTICO</t>
  </si>
  <si>
    <t>EXONERACION ZONA FRANCA</t>
  </si>
  <si>
    <t>EXONERACION CONTRATO DE EXPORTACION</t>
  </si>
  <si>
    <t>EXONERACION OTROS CONCEPTOS</t>
  </si>
  <si>
    <t>IMPUESTO SOBRE LA RENTA DESPUES DE EXONERACIONES</t>
  </si>
  <si>
    <t>V. EXTINCION DE LA DEUDA TRIBUTARIA</t>
  </si>
  <si>
    <t>CREDITO POR INVERSION A CONTRATO TURISMO</t>
  </si>
  <si>
    <t>CREDITO POR INVERSION CONTRATO PRODUCCION</t>
  </si>
  <si>
    <t>CREDITO POR INVERSION CONTRATO FORESTAL</t>
  </si>
  <si>
    <t>CREDITOS FAMILIARES (SOLO PERSONAS FISICAS)</t>
  </si>
  <si>
    <t>OTROS CREDITOS</t>
  </si>
  <si>
    <t>IMPUESTO DEL PERIODO (RENGLON 54 MENOS SUMA RENGLONES 55 AL 59)</t>
  </si>
  <si>
    <t>RETENCION 2%</t>
  </si>
  <si>
    <t>OTRAS RETENCIONES</t>
  </si>
  <si>
    <t>PAGOS PARCIALES</t>
  </si>
  <si>
    <t>TOTAL IMPUESTO NETO (RENGLON 60 MENOS SUMA 61 AL 63)</t>
  </si>
  <si>
    <t>VI. LIQUIDACION DEUDA TRIBUTARIA</t>
  </si>
  <si>
    <t xml:space="preserve">INTERESES </t>
  </si>
  <si>
    <t>TOTAL DEUDA TRIBUTARIA</t>
  </si>
  <si>
    <t>SOLICITO COMPENSAR CON CREDITO A MI FAVOR POR EL MONTO DE:</t>
  </si>
  <si>
    <t>TOTAL DEUDA POR PAGAR</t>
  </si>
  <si>
    <t>Importación</t>
  </si>
  <si>
    <t>Fact proveedor</t>
  </si>
  <si>
    <t xml:space="preserve">DAI </t>
  </si>
  <si>
    <t>IE</t>
  </si>
  <si>
    <t>SC</t>
  </si>
  <si>
    <t>Costo del inventario</t>
  </si>
  <si>
    <t>IGV</t>
  </si>
  <si>
    <t>Impuesto recuperable</t>
  </si>
  <si>
    <t>Costo</t>
  </si>
  <si>
    <t>Margen</t>
  </si>
  <si>
    <t>Precio venta</t>
  </si>
  <si>
    <t>Determinación IGV</t>
  </si>
  <si>
    <t>Crédito</t>
  </si>
  <si>
    <t>Débito</t>
  </si>
  <si>
    <t>Deuda</t>
  </si>
  <si>
    <t>A favor</t>
  </si>
  <si>
    <t>Impuesto no recuperable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</si>
</sst>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48"/>
      <color indexed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59"/>
      <name val="Arial"/>
      <family val="2"/>
    </font>
    <font>
      <sz val="8"/>
      <color indexed="22"/>
      <name val="Arial"/>
      <family val="2"/>
    </font>
    <font>
      <b/>
      <sz val="8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2">
    <xf numFmtId="0" fontId="0" fillId="0" borderId="0" xfId="0"/>
    <xf numFmtId="165" fontId="3" fillId="0" borderId="0" xfId="1" applyNumberFormat="1" applyFont="1"/>
    <xf numFmtId="165" fontId="3" fillId="0" borderId="1" xfId="1" applyNumberFormat="1" applyFont="1" applyBorder="1"/>
    <xf numFmtId="9" fontId="3" fillId="0" borderId="0" xfId="2" applyFont="1"/>
    <xf numFmtId="165" fontId="4" fillId="0" borderId="0" xfId="1" applyNumberFormat="1" applyFont="1"/>
    <xf numFmtId="165" fontId="5" fillId="0" borderId="0" xfId="1" applyNumberFormat="1" applyFont="1"/>
    <xf numFmtId="165" fontId="6" fillId="0" borderId="0" xfId="1" applyNumberFormat="1" applyFont="1"/>
    <xf numFmtId="165" fontId="4" fillId="0" borderId="1" xfId="1" applyNumberFormat="1" applyFont="1" applyBorder="1"/>
    <xf numFmtId="9" fontId="4" fillId="0" borderId="0" xfId="2" applyFont="1"/>
    <xf numFmtId="165" fontId="6" fillId="0" borderId="0" xfId="1" applyNumberFormat="1" applyFont="1" applyAlignment="1">
      <alignment horizontal="center"/>
    </xf>
    <xf numFmtId="0" fontId="4" fillId="0" borderId="0" xfId="0" applyFont="1"/>
    <xf numFmtId="14" fontId="4" fillId="0" borderId="0" xfId="0" applyNumberFormat="1" applyFont="1"/>
    <xf numFmtId="165" fontId="7" fillId="0" borderId="0" xfId="1" applyNumberFormat="1" applyFont="1"/>
    <xf numFmtId="165" fontId="10" fillId="0" borderId="0" xfId="1" applyNumberFormat="1" applyFont="1" applyAlignment="1">
      <alignment horizontal="center"/>
    </xf>
    <xf numFmtId="165" fontId="11" fillId="0" borderId="0" xfId="1" applyNumberFormat="1" applyFont="1"/>
    <xf numFmtId="165" fontId="11" fillId="0" borderId="0" xfId="1" applyNumberFormat="1" applyFont="1" applyAlignment="1">
      <alignment horizontal="center"/>
    </xf>
    <xf numFmtId="165" fontId="12" fillId="2" borderId="2" xfId="1" applyNumberFormat="1" applyFont="1" applyFill="1" applyBorder="1"/>
    <xf numFmtId="165" fontId="13" fillId="2" borderId="2" xfId="1" applyNumberFormat="1" applyFont="1" applyFill="1" applyBorder="1" applyAlignment="1">
      <alignment horizontal="center"/>
    </xf>
    <xf numFmtId="165" fontId="13" fillId="2" borderId="2" xfId="1" applyNumberFormat="1" applyFont="1" applyFill="1" applyBorder="1"/>
    <xf numFmtId="165" fontId="11" fillId="0" borderId="3" xfId="1" applyNumberFormat="1" applyFont="1" applyBorder="1"/>
    <xf numFmtId="165" fontId="11" fillId="0" borderId="3" xfId="1" applyNumberFormat="1" applyFont="1" applyBorder="1" applyAlignment="1">
      <alignment horizontal="center"/>
    </xf>
    <xf numFmtId="165" fontId="11" fillId="0" borderId="3" xfId="1" quotePrefix="1" applyNumberFormat="1" applyFont="1" applyBorder="1" applyAlignment="1">
      <alignment horizontal="left"/>
    </xf>
    <xf numFmtId="165" fontId="14" fillId="0" borderId="3" xfId="1" applyNumberFormat="1" applyFont="1" applyBorder="1"/>
    <xf numFmtId="165" fontId="12" fillId="2" borderId="3" xfId="1" quotePrefix="1" applyNumberFormat="1" applyFont="1" applyFill="1" applyBorder="1" applyAlignment="1">
      <alignment horizontal="left"/>
    </xf>
    <xf numFmtId="165" fontId="12" fillId="2" borderId="3" xfId="1" applyNumberFormat="1" applyFont="1" applyFill="1" applyBorder="1" applyAlignment="1">
      <alignment horizontal="center"/>
    </xf>
    <xf numFmtId="165" fontId="12" fillId="2" borderId="3" xfId="1" applyNumberFormat="1" applyFont="1" applyFill="1" applyBorder="1"/>
    <xf numFmtId="165" fontId="11" fillId="0" borderId="3" xfId="1" quotePrefix="1" applyNumberFormat="1" applyFont="1" applyBorder="1" applyAlignment="1">
      <alignment horizontal="center"/>
    </xf>
    <xf numFmtId="165" fontId="14" fillId="0" borderId="3" xfId="1" applyNumberFormat="1" applyFont="1" applyBorder="1" applyAlignment="1">
      <alignment horizontal="center"/>
    </xf>
    <xf numFmtId="165" fontId="10" fillId="0" borderId="0" xfId="1" applyNumberFormat="1" applyFont="1"/>
    <xf numFmtId="165" fontId="10" fillId="0" borderId="3" xfId="1" applyNumberFormat="1" applyFont="1" applyBorder="1"/>
    <xf numFmtId="165" fontId="7" fillId="0" borderId="3" xfId="1" applyNumberFormat="1" applyFont="1" applyBorder="1"/>
    <xf numFmtId="165" fontId="7" fillId="0" borderId="4" xfId="1" applyNumberFormat="1" applyFont="1" applyBorder="1"/>
    <xf numFmtId="165" fontId="14" fillId="0" borderId="3" xfId="1" applyNumberFormat="1" applyFont="1" applyBorder="1" applyAlignment="1">
      <alignment horizontal="left"/>
    </xf>
    <xf numFmtId="165" fontId="14" fillId="0" borderId="5" xfId="1" applyNumberFormat="1" applyFont="1" applyBorder="1"/>
    <xf numFmtId="165" fontId="14" fillId="0" borderId="5" xfId="1" applyNumberFormat="1" applyFont="1" applyBorder="1" applyAlignment="1">
      <alignment horizontal="center"/>
    </xf>
    <xf numFmtId="165" fontId="10" fillId="0" borderId="5" xfId="1" applyNumberFormat="1" applyFont="1" applyBorder="1"/>
    <xf numFmtId="10" fontId="7" fillId="0" borderId="0" xfId="2" applyNumberFormat="1" applyFont="1"/>
    <xf numFmtId="165" fontId="0" fillId="0" borderId="0" xfId="1" applyNumberFormat="1" applyFont="1"/>
    <xf numFmtId="165" fontId="0" fillId="0" borderId="1" xfId="1" applyNumberFormat="1" applyFont="1" applyBorder="1"/>
    <xf numFmtId="9" fontId="0" fillId="0" borderId="0" xfId="2" applyFont="1"/>
    <xf numFmtId="165" fontId="5" fillId="0" borderId="0" xfId="1" applyNumberFormat="1" applyFont="1" applyAlignment="1">
      <alignment horizontal="center"/>
    </xf>
    <xf numFmtId="165" fontId="8" fillId="0" borderId="0" xfId="1" applyNumberFormat="1" applyFont="1" applyAlignment="1">
      <alignment horizontal="center" vertical="center"/>
    </xf>
  </cellXfs>
  <cellStyles count="4">
    <cellStyle name="Comma 3" xfId="3" xr:uid="{18DF1FE6-5D29-4389-934D-B03FAAED47A9}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amirez.FAYCA/Documents/Tax%20Cias%202018/Bodegas/Escenarios%2016-2-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amirez/Documents/Tax%20Cias%2009/PIPCA%2009/D%20101%20RENTA%202008%2011-3-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amirez.FAYCA/Documents/Curso%20Derecho%20Tributario%20III%20%20%201-2019/D-101%20Practica%20Solu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BI"/>
      <sheetName val="Escen Gan Cap 2"/>
      <sheetName val="BS TYB Set Acum. 2017"/>
      <sheetName val="Asientos"/>
      <sheetName val="Escenario Gan Cap"/>
      <sheetName val="E.R. T&amp;S Set Acum 2017"/>
    </sheetNames>
    <sheetDataSet>
      <sheetData sheetId="0"/>
      <sheetData sheetId="1"/>
      <sheetData sheetId="2">
        <row r="19">
          <cell r="K19">
            <v>3911812</v>
          </cell>
        </row>
        <row r="20">
          <cell r="K20">
            <v>56088188</v>
          </cell>
        </row>
        <row r="21">
          <cell r="K21">
            <v>1000000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 RENTA"/>
      <sheetName val="CONCILIACION FISCAL"/>
      <sheetName val="BAL. GENERAL"/>
      <sheetName val="EST. RESULTADOS"/>
      <sheetName val="Asientos"/>
      <sheetName val="PAGOS PARCIALES Y TIMBRE"/>
      <sheetName val="CONCILIACION DE VENTAS"/>
      <sheetName val="Balance Sistema"/>
    </sheetNames>
    <sheetDataSet>
      <sheetData sheetId="0"/>
      <sheetData sheetId="1">
        <row r="52">
          <cell r="F52">
            <v>0</v>
          </cell>
        </row>
      </sheetData>
      <sheetData sheetId="2">
        <row r="10">
          <cell r="F10">
            <v>19420039.790000003</v>
          </cell>
        </row>
      </sheetData>
      <sheetData sheetId="3">
        <row r="12">
          <cell r="F12">
            <v>-133516116.62</v>
          </cell>
        </row>
      </sheetData>
      <sheetData sheetId="4" refreshError="1"/>
      <sheetData sheetId="5">
        <row r="27">
          <cell r="B27">
            <v>0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o"/>
      <sheetName val="BG"/>
      <sheetName val="Solución"/>
      <sheetName val="D-101"/>
    </sheetNames>
    <sheetDataSet>
      <sheetData sheetId="0"/>
      <sheetData sheetId="1"/>
      <sheetData sheetId="2">
        <row r="36">
          <cell r="F36">
            <v>-1000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C0F22-A8C5-42D0-985B-A060B8A2D520}">
  <sheetPr>
    <tabColor indexed="19"/>
  </sheetPr>
  <dimension ref="B5:N124"/>
  <sheetViews>
    <sheetView zoomScale="80" zoomScaleNormal="80" workbookViewId="0">
      <selection activeCell="F18" sqref="F18"/>
    </sheetView>
  </sheetViews>
  <sheetFormatPr baseColWidth="10" defaultRowHeight="18.75" x14ac:dyDescent="0.3"/>
  <cols>
    <col min="1" max="1" width="3" style="4" customWidth="1"/>
    <col min="2" max="2" width="11.42578125" style="4"/>
    <col min="3" max="3" width="22.28515625" style="4" customWidth="1"/>
    <col min="4" max="4" width="19.5703125" style="4" bestFit="1" customWidth="1"/>
    <col min="5" max="5" width="13.42578125" style="4" customWidth="1"/>
    <col min="6" max="6" width="21.42578125" style="4" bestFit="1" customWidth="1"/>
    <col min="7" max="7" width="17" style="4" customWidth="1"/>
    <col min="8" max="8" width="11.42578125" style="4"/>
    <col min="9" max="9" width="17.140625" style="4" bestFit="1" customWidth="1"/>
    <col min="10" max="10" width="11.5703125" style="4" bestFit="1" customWidth="1"/>
    <col min="11" max="12" width="11.42578125" style="4"/>
    <col min="13" max="13" width="18.7109375" style="4" bestFit="1" customWidth="1"/>
    <col min="14" max="14" width="11.5703125" style="4" bestFit="1" customWidth="1"/>
    <col min="15" max="16384" width="11.42578125" style="4"/>
  </cols>
  <sheetData>
    <row r="5" spans="2:10" x14ac:dyDescent="0.3">
      <c r="C5" s="5" t="s">
        <v>0</v>
      </c>
    </row>
    <row r="6" spans="2:10" x14ac:dyDescent="0.3">
      <c r="C6" s="6" t="s">
        <v>1</v>
      </c>
    </row>
    <row r="7" spans="2:10" hidden="1" x14ac:dyDescent="0.3"/>
    <row r="9" spans="2:10" x14ac:dyDescent="0.3">
      <c r="B9" s="6" t="s">
        <v>2</v>
      </c>
      <c r="D9" s="4">
        <v>150000000</v>
      </c>
      <c r="G9" s="6" t="s">
        <v>3</v>
      </c>
    </row>
    <row r="11" spans="2:10" x14ac:dyDescent="0.3">
      <c r="B11" s="6" t="s">
        <v>4</v>
      </c>
      <c r="D11" s="4">
        <f>-'[1]BS TYB Set Acum. 2017'!K19</f>
        <v>-3911812</v>
      </c>
    </row>
    <row r="12" spans="2:10" x14ac:dyDescent="0.3">
      <c r="B12" s="6" t="s">
        <v>5</v>
      </c>
      <c r="D12" s="7">
        <f>-'[1]BS TYB Set Acum. 2017'!K21</f>
        <v>-1000000</v>
      </c>
      <c r="G12" s="4" t="s">
        <v>4</v>
      </c>
      <c r="I12" s="4">
        <v>3911812</v>
      </c>
      <c r="J12" s="8">
        <f>+I12/I14</f>
        <v>0.79640914595265455</v>
      </c>
    </row>
    <row r="13" spans="2:10" x14ac:dyDescent="0.3">
      <c r="G13" s="4" t="s">
        <v>5</v>
      </c>
      <c r="I13" s="7">
        <v>1000000</v>
      </c>
      <c r="J13" s="8">
        <f>+I13/I14</f>
        <v>0.20359085404734545</v>
      </c>
    </row>
    <row r="14" spans="2:10" x14ac:dyDescent="0.3">
      <c r="B14" s="6" t="s">
        <v>6</v>
      </c>
      <c r="D14" s="4">
        <f>SUM(D9:D12)</f>
        <v>145088188</v>
      </c>
      <c r="I14" s="4">
        <f>SUM(I12:I13)</f>
        <v>4911812</v>
      </c>
      <c r="J14" s="8"/>
    </row>
    <row r="16" spans="2:10" x14ac:dyDescent="0.3">
      <c r="E16" s="6" t="s">
        <v>7</v>
      </c>
    </row>
    <row r="17" spans="2:10" x14ac:dyDescent="0.3">
      <c r="B17" s="6" t="s">
        <v>8</v>
      </c>
      <c r="D17" s="4">
        <f>+D14*J12</f>
        <v>115549559.89289819</v>
      </c>
      <c r="E17" s="4">
        <v>0</v>
      </c>
    </row>
    <row r="18" spans="2:10" x14ac:dyDescent="0.3">
      <c r="B18" s="6" t="s">
        <v>9</v>
      </c>
      <c r="D18" s="4">
        <f>+D14*J13</f>
        <v>29538628.107101817</v>
      </c>
      <c r="E18" s="4">
        <f>+D18*0.3</f>
        <v>8861588.4321305454</v>
      </c>
    </row>
    <row r="22" spans="2:10" x14ac:dyDescent="0.3">
      <c r="C22" s="5" t="s">
        <v>10</v>
      </c>
    </row>
    <row r="23" spans="2:10" x14ac:dyDescent="0.3">
      <c r="C23" s="6" t="s">
        <v>11</v>
      </c>
    </row>
    <row r="26" spans="2:10" x14ac:dyDescent="0.3">
      <c r="B26" s="6" t="s">
        <v>2</v>
      </c>
      <c r="D26" s="4">
        <v>150000000</v>
      </c>
      <c r="G26" s="6" t="s">
        <v>3</v>
      </c>
    </row>
    <row r="28" spans="2:10" x14ac:dyDescent="0.3">
      <c r="B28" s="6" t="s">
        <v>4</v>
      </c>
      <c r="D28" s="4">
        <f>-'[1]BS TYB Set Acum. 2017'!K19</f>
        <v>-3911812</v>
      </c>
    </row>
    <row r="29" spans="2:10" x14ac:dyDescent="0.3">
      <c r="B29" s="6" t="s">
        <v>12</v>
      </c>
      <c r="D29" s="4">
        <f>-'[1]BS TYB Set Acum. 2017'!K20</f>
        <v>-56088188</v>
      </c>
    </row>
    <row r="30" spans="2:10" x14ac:dyDescent="0.3">
      <c r="B30" s="6" t="s">
        <v>5</v>
      </c>
      <c r="D30" s="7">
        <f>-'[1]BS TYB Set Acum. 2017'!K21</f>
        <v>-1000000</v>
      </c>
      <c r="G30" s="4" t="s">
        <v>4</v>
      </c>
      <c r="I30" s="4">
        <v>3911812</v>
      </c>
      <c r="J30" s="8">
        <f>+I30/I32</f>
        <v>0.79640914595265455</v>
      </c>
    </row>
    <row r="31" spans="2:10" x14ac:dyDescent="0.3">
      <c r="G31" s="4" t="s">
        <v>5</v>
      </c>
      <c r="I31" s="7">
        <v>1000000</v>
      </c>
      <c r="J31" s="8">
        <f>+I31/I32</f>
        <v>0.20359085404734545</v>
      </c>
    </row>
    <row r="32" spans="2:10" x14ac:dyDescent="0.3">
      <c r="B32" s="6" t="s">
        <v>6</v>
      </c>
      <c r="D32" s="4">
        <f>SUM(D26:D30)</f>
        <v>89000000</v>
      </c>
      <c r="I32" s="4">
        <f>SUM(I30:I31)</f>
        <v>4911812</v>
      </c>
      <c r="J32" s="8"/>
    </row>
    <row r="34" spans="2:10" x14ac:dyDescent="0.3">
      <c r="E34" s="6" t="s">
        <v>7</v>
      </c>
    </row>
    <row r="35" spans="2:10" x14ac:dyDescent="0.3">
      <c r="B35" s="6" t="s">
        <v>8</v>
      </c>
      <c r="D35" s="4">
        <f>+D32*J30</f>
        <v>70880413.989786252</v>
      </c>
      <c r="E35" s="4">
        <v>0</v>
      </c>
    </row>
    <row r="36" spans="2:10" x14ac:dyDescent="0.3">
      <c r="B36" s="6" t="s">
        <v>9</v>
      </c>
      <c r="D36" s="4">
        <f>+D32*J31</f>
        <v>18119586.010213744</v>
      </c>
      <c r="E36" s="4">
        <f>+D36*0.3</f>
        <v>5435875.8030641228</v>
      </c>
    </row>
    <row r="40" spans="2:10" x14ac:dyDescent="0.3">
      <c r="C40" s="5" t="s">
        <v>13</v>
      </c>
    </row>
    <row r="41" spans="2:10" x14ac:dyDescent="0.3">
      <c r="C41" s="6" t="s">
        <v>14</v>
      </c>
    </row>
    <row r="42" spans="2:10" x14ac:dyDescent="0.3">
      <c r="C42" s="6" t="s">
        <v>15</v>
      </c>
    </row>
    <row r="44" spans="2:10" x14ac:dyDescent="0.3">
      <c r="B44" s="6" t="s">
        <v>2</v>
      </c>
      <c r="D44" s="4">
        <v>150000000</v>
      </c>
      <c r="G44" s="6" t="s">
        <v>3</v>
      </c>
    </row>
    <row r="46" spans="2:10" x14ac:dyDescent="0.3">
      <c r="B46" s="6" t="s">
        <v>4</v>
      </c>
      <c r="D46" s="4">
        <v>-3911812</v>
      </c>
      <c r="G46" s="6" t="s">
        <v>16</v>
      </c>
    </row>
    <row r="47" spans="2:10" x14ac:dyDescent="0.3">
      <c r="B47" s="6" t="s">
        <v>12</v>
      </c>
      <c r="D47" s="4">
        <f>+D29</f>
        <v>-56088188</v>
      </c>
    </row>
    <row r="48" spans="2:10" x14ac:dyDescent="0.3">
      <c r="B48" s="6" t="s">
        <v>5</v>
      </c>
      <c r="D48" s="7">
        <v>-1000000</v>
      </c>
      <c r="G48" s="6" t="s">
        <v>17</v>
      </c>
      <c r="I48" s="4">
        <v>60000000</v>
      </c>
      <c r="J48" s="8">
        <f>+I48/I50</f>
        <v>0.75</v>
      </c>
    </row>
    <row r="49" spans="2:11" x14ac:dyDescent="0.3">
      <c r="G49" s="6" t="s">
        <v>18</v>
      </c>
      <c r="I49" s="7">
        <v>20000000</v>
      </c>
      <c r="J49" s="8">
        <f>+I49/I50</f>
        <v>0.25</v>
      </c>
    </row>
    <row r="50" spans="2:11" x14ac:dyDescent="0.3">
      <c r="B50" s="6" t="s">
        <v>6</v>
      </c>
      <c r="D50" s="4">
        <f>SUM(D44:D48)</f>
        <v>89000000</v>
      </c>
      <c r="I50" s="4">
        <f>SUM(I48:I49)</f>
        <v>80000000</v>
      </c>
      <c r="J50" s="8"/>
    </row>
    <row r="52" spans="2:11" x14ac:dyDescent="0.3">
      <c r="E52" s="6" t="s">
        <v>7</v>
      </c>
    </row>
    <row r="53" spans="2:11" x14ac:dyDescent="0.3">
      <c r="B53" s="6" t="s">
        <v>8</v>
      </c>
      <c r="D53" s="4">
        <f>+D50*J48</f>
        <v>66750000</v>
      </c>
      <c r="E53" s="4">
        <v>0</v>
      </c>
    </row>
    <row r="54" spans="2:11" x14ac:dyDescent="0.3">
      <c r="B54" s="6" t="s">
        <v>9</v>
      </c>
      <c r="D54" s="4">
        <f>+D50*J49</f>
        <v>22250000</v>
      </c>
      <c r="E54" s="4">
        <f>+D54*0.3</f>
        <v>6675000</v>
      </c>
    </row>
    <row r="58" spans="2:11" x14ac:dyDescent="0.3">
      <c r="C58" s="5" t="s">
        <v>19</v>
      </c>
    </row>
    <row r="59" spans="2:11" x14ac:dyDescent="0.3">
      <c r="C59" s="6" t="s">
        <v>20</v>
      </c>
    </row>
    <row r="60" spans="2:11" x14ac:dyDescent="0.3">
      <c r="C60" s="6" t="s">
        <v>21</v>
      </c>
    </row>
    <row r="62" spans="2:11" x14ac:dyDescent="0.3">
      <c r="F62" s="9" t="s">
        <v>22</v>
      </c>
      <c r="G62" s="9" t="s">
        <v>23</v>
      </c>
    </row>
    <row r="63" spans="2:11" x14ac:dyDescent="0.3">
      <c r="B63" s="6" t="s">
        <v>2</v>
      </c>
      <c r="D63" s="4">
        <v>150000000</v>
      </c>
      <c r="F63" s="4">
        <f>+D63*N67</f>
        <v>112500000</v>
      </c>
      <c r="G63" s="4">
        <f>+D63*N68</f>
        <v>37500000</v>
      </c>
      <c r="K63" s="6" t="s">
        <v>3</v>
      </c>
    </row>
    <row r="65" spans="2:14" x14ac:dyDescent="0.3">
      <c r="B65" s="6" t="s">
        <v>4</v>
      </c>
      <c r="D65" s="4">
        <v>-3911812</v>
      </c>
      <c r="F65" s="4">
        <v>-3911812</v>
      </c>
      <c r="K65" s="6" t="s">
        <v>16</v>
      </c>
    </row>
    <row r="66" spans="2:14" x14ac:dyDescent="0.3">
      <c r="B66" s="6" t="s">
        <v>12</v>
      </c>
      <c r="D66" s="4">
        <f>+D47</f>
        <v>-56088188</v>
      </c>
      <c r="F66" s="4">
        <f>+D66</f>
        <v>-56088188</v>
      </c>
    </row>
    <row r="67" spans="2:14" x14ac:dyDescent="0.3">
      <c r="B67" s="6" t="s">
        <v>5</v>
      </c>
      <c r="D67" s="7">
        <v>-1000000</v>
      </c>
      <c r="F67" s="7"/>
      <c r="G67" s="7">
        <v>-1000000</v>
      </c>
      <c r="K67" s="6" t="s">
        <v>17</v>
      </c>
      <c r="M67" s="4">
        <v>60000000</v>
      </c>
      <c r="N67" s="8">
        <f>+M67/M69</f>
        <v>0.75</v>
      </c>
    </row>
    <row r="68" spans="2:14" x14ac:dyDescent="0.3">
      <c r="K68" s="6" t="s">
        <v>18</v>
      </c>
      <c r="M68" s="7">
        <v>20000000</v>
      </c>
      <c r="N68" s="8">
        <f>+M68/M69</f>
        <v>0.25</v>
      </c>
    </row>
    <row r="69" spans="2:14" x14ac:dyDescent="0.3">
      <c r="B69" s="6" t="s">
        <v>6</v>
      </c>
      <c r="D69" s="4">
        <f>SUM(D63:D67)</f>
        <v>89000000</v>
      </c>
      <c r="F69" s="4">
        <f>SUM(F63:F67)</f>
        <v>52500000</v>
      </c>
      <c r="G69" s="4">
        <f>SUM(G63:G67)</f>
        <v>36500000</v>
      </c>
      <c r="M69" s="4">
        <f>SUM(M67:M68)</f>
        <v>80000000</v>
      </c>
      <c r="N69" s="8"/>
    </row>
    <row r="71" spans="2:14" x14ac:dyDescent="0.3">
      <c r="E71" s="6"/>
    </row>
    <row r="72" spans="2:14" x14ac:dyDescent="0.3">
      <c r="B72" s="6"/>
      <c r="E72" s="6" t="s">
        <v>7</v>
      </c>
      <c r="F72" s="6">
        <v>0</v>
      </c>
      <c r="G72" s="4">
        <f>+G69*0.3</f>
        <v>10950000</v>
      </c>
    </row>
    <row r="73" spans="2:14" x14ac:dyDescent="0.3">
      <c r="D73" s="6"/>
    </row>
    <row r="76" spans="2:14" x14ac:dyDescent="0.3">
      <c r="C76" s="5" t="s">
        <v>24</v>
      </c>
    </row>
    <row r="77" spans="2:14" x14ac:dyDescent="0.3">
      <c r="C77" s="5" t="s">
        <v>25</v>
      </c>
    </row>
    <row r="78" spans="2:14" x14ac:dyDescent="0.3">
      <c r="C78" s="6" t="s">
        <v>20</v>
      </c>
    </row>
    <row r="79" spans="2:14" x14ac:dyDescent="0.3">
      <c r="C79" s="6" t="s">
        <v>21</v>
      </c>
    </row>
    <row r="81" spans="2:14" x14ac:dyDescent="0.3">
      <c r="B81" s="6" t="s">
        <v>26</v>
      </c>
    </row>
    <row r="82" spans="2:14" x14ac:dyDescent="0.3">
      <c r="B82" s="6" t="s">
        <v>27</v>
      </c>
      <c r="D82" s="4">
        <v>750000000</v>
      </c>
    </row>
    <row r="83" spans="2:14" x14ac:dyDescent="0.3">
      <c r="B83" s="6" t="s">
        <v>28</v>
      </c>
      <c r="D83" s="4">
        <f>-M93</f>
        <v>-347228992</v>
      </c>
    </row>
    <row r="84" spans="2:14" x14ac:dyDescent="0.3">
      <c r="B84" s="6" t="s">
        <v>29</v>
      </c>
      <c r="D84" s="7">
        <f>-M94</f>
        <v>-366376318</v>
      </c>
    </row>
    <row r="85" spans="2:14" x14ac:dyDescent="0.3">
      <c r="B85" s="6"/>
      <c r="C85" s="6" t="s">
        <v>30</v>
      </c>
      <c r="D85" s="4">
        <f>SUM(D82:D84)</f>
        <v>36394690</v>
      </c>
    </row>
    <row r="88" spans="2:14" x14ac:dyDescent="0.3">
      <c r="F88" s="9" t="s">
        <v>22</v>
      </c>
      <c r="G88" s="9" t="s">
        <v>23</v>
      </c>
    </row>
    <row r="89" spans="2:14" x14ac:dyDescent="0.3">
      <c r="B89" s="6" t="s">
        <v>2</v>
      </c>
      <c r="D89" s="4">
        <f>+D82-D85</f>
        <v>713605310</v>
      </c>
      <c r="F89" s="4">
        <f>+D89*N93</f>
        <v>347228992</v>
      </c>
      <c r="G89" s="4">
        <f>+D89*N94</f>
        <v>366376318</v>
      </c>
      <c r="K89" s="6" t="s">
        <v>3</v>
      </c>
    </row>
    <row r="91" spans="2:14" x14ac:dyDescent="0.3">
      <c r="B91" s="6" t="s">
        <v>4</v>
      </c>
      <c r="K91" s="6" t="s">
        <v>16</v>
      </c>
    </row>
    <row r="92" spans="2:14" x14ac:dyDescent="0.3">
      <c r="B92" s="6" t="s">
        <v>12</v>
      </c>
      <c r="D92" s="4">
        <f>-M93</f>
        <v>-347228992</v>
      </c>
      <c r="F92" s="4">
        <f>+D92</f>
        <v>-347228992</v>
      </c>
    </row>
    <row r="93" spans="2:14" x14ac:dyDescent="0.3">
      <c r="B93" s="6" t="s">
        <v>5</v>
      </c>
      <c r="D93" s="7">
        <v>-1000000</v>
      </c>
      <c r="F93" s="7"/>
      <c r="G93" s="7">
        <v>-1000000</v>
      </c>
      <c r="K93" s="6" t="s">
        <v>17</v>
      </c>
      <c r="M93" s="4">
        <v>347228992</v>
      </c>
      <c r="N93" s="8">
        <f>+M93/M95</f>
        <v>0.48658409226243005</v>
      </c>
    </row>
    <row r="94" spans="2:14" x14ac:dyDescent="0.3">
      <c r="K94" s="6" t="s">
        <v>18</v>
      </c>
      <c r="M94" s="7">
        <v>366376318</v>
      </c>
      <c r="N94" s="8">
        <f>+M94/M95</f>
        <v>0.51341590773756995</v>
      </c>
    </row>
    <row r="95" spans="2:14" x14ac:dyDescent="0.3">
      <c r="B95" s="6" t="s">
        <v>6</v>
      </c>
      <c r="D95" s="4">
        <f>SUM(D89:D93)</f>
        <v>365376318</v>
      </c>
      <c r="F95" s="4">
        <f>SUM(F89:F93)</f>
        <v>0</v>
      </c>
      <c r="G95" s="4">
        <f>SUM(G89:G93)</f>
        <v>365376318</v>
      </c>
      <c r="M95" s="4">
        <f>SUM(M93:M94)</f>
        <v>713605310</v>
      </c>
      <c r="N95" s="8"/>
    </row>
    <row r="97" spans="2:7" x14ac:dyDescent="0.3">
      <c r="E97" s="6"/>
    </row>
    <row r="98" spans="2:7" x14ac:dyDescent="0.3">
      <c r="B98" s="6"/>
      <c r="E98" s="6" t="s">
        <v>7</v>
      </c>
      <c r="F98" s="6">
        <v>0</v>
      </c>
      <c r="G98" s="4">
        <f>+G95*0.3</f>
        <v>109612895.39999999</v>
      </c>
    </row>
    <row r="102" spans="2:7" x14ac:dyDescent="0.3">
      <c r="C102" s="5" t="s">
        <v>31</v>
      </c>
    </row>
    <row r="103" spans="2:7" x14ac:dyDescent="0.3">
      <c r="C103" s="5" t="s">
        <v>25</v>
      </c>
    </row>
    <row r="104" spans="2:7" x14ac:dyDescent="0.3">
      <c r="C104" s="6" t="s">
        <v>20</v>
      </c>
    </row>
    <row r="105" spans="2:7" x14ac:dyDescent="0.3">
      <c r="C105" s="6" t="s">
        <v>32</v>
      </c>
    </row>
    <row r="107" spans="2:7" x14ac:dyDescent="0.3">
      <c r="B107" s="6" t="s">
        <v>26</v>
      </c>
    </row>
    <row r="108" spans="2:7" x14ac:dyDescent="0.3">
      <c r="B108" s="6" t="s">
        <v>27</v>
      </c>
      <c r="D108" s="4">
        <v>250000000</v>
      </c>
    </row>
    <row r="109" spans="2:7" x14ac:dyDescent="0.3">
      <c r="B109" s="6" t="s">
        <v>28</v>
      </c>
      <c r="D109" s="4">
        <f>-M119</f>
        <v>-60000000</v>
      </c>
    </row>
    <row r="110" spans="2:7" x14ac:dyDescent="0.3">
      <c r="B110" s="6" t="s">
        <v>29</v>
      </c>
      <c r="D110" s="7">
        <f>-M120</f>
        <v>-20000000</v>
      </c>
    </row>
    <row r="111" spans="2:7" x14ac:dyDescent="0.3">
      <c r="B111" s="6"/>
      <c r="C111" s="6" t="s">
        <v>30</v>
      </c>
      <c r="D111" s="4">
        <f>SUM(D108:D110)</f>
        <v>170000000</v>
      </c>
    </row>
    <row r="114" spans="2:14" x14ac:dyDescent="0.3">
      <c r="F114" s="9" t="s">
        <v>22</v>
      </c>
      <c r="G114" s="9" t="s">
        <v>23</v>
      </c>
    </row>
    <row r="115" spans="2:14" x14ac:dyDescent="0.3">
      <c r="B115" s="6" t="s">
        <v>2</v>
      </c>
      <c r="D115" s="4">
        <f>+D108-D111</f>
        <v>80000000</v>
      </c>
      <c r="F115" s="4">
        <f>+D115*N119</f>
        <v>60000000</v>
      </c>
      <c r="G115" s="4">
        <f>+D115*N120</f>
        <v>20000000</v>
      </c>
      <c r="K115" s="6" t="s">
        <v>3</v>
      </c>
    </row>
    <row r="117" spans="2:14" x14ac:dyDescent="0.3">
      <c r="B117" s="6" t="s">
        <v>4</v>
      </c>
      <c r="D117" s="4">
        <v>-3911812</v>
      </c>
      <c r="F117" s="4">
        <v>-3911812</v>
      </c>
      <c r="K117" s="6" t="s">
        <v>16</v>
      </c>
    </row>
    <row r="118" spans="2:14" x14ac:dyDescent="0.3">
      <c r="B118" s="6" t="s">
        <v>12</v>
      </c>
      <c r="F118" s="4">
        <f>+D118</f>
        <v>0</v>
      </c>
    </row>
    <row r="119" spans="2:14" x14ac:dyDescent="0.3">
      <c r="B119" s="6" t="s">
        <v>5</v>
      </c>
      <c r="D119" s="7">
        <v>-1000000</v>
      </c>
      <c r="F119" s="7"/>
      <c r="G119" s="7">
        <v>-1000000</v>
      </c>
      <c r="K119" s="6" t="s">
        <v>17</v>
      </c>
      <c r="M119" s="4">
        <v>60000000</v>
      </c>
      <c r="N119" s="8">
        <f>+M119/M121</f>
        <v>0.75</v>
      </c>
    </row>
    <row r="120" spans="2:14" x14ac:dyDescent="0.3">
      <c r="K120" s="6" t="s">
        <v>18</v>
      </c>
      <c r="M120" s="7">
        <v>20000000</v>
      </c>
      <c r="N120" s="8">
        <f>+M120/M121</f>
        <v>0.25</v>
      </c>
    </row>
    <row r="121" spans="2:14" x14ac:dyDescent="0.3">
      <c r="B121" s="6" t="s">
        <v>6</v>
      </c>
      <c r="D121" s="4">
        <f>SUM(D115:D119)</f>
        <v>75088188</v>
      </c>
      <c r="F121" s="4">
        <f>SUM(F115:F119)</f>
        <v>56088188</v>
      </c>
      <c r="G121" s="4">
        <f>SUM(G115:G119)</f>
        <v>19000000</v>
      </c>
      <c r="M121" s="4">
        <f>SUM(M119:M120)</f>
        <v>80000000</v>
      </c>
      <c r="N121" s="8"/>
    </row>
    <row r="123" spans="2:14" x14ac:dyDescent="0.3">
      <c r="E123" s="6"/>
    </row>
    <row r="124" spans="2:14" x14ac:dyDescent="0.3">
      <c r="B124" s="6"/>
      <c r="E124" s="6" t="s">
        <v>7</v>
      </c>
      <c r="F124" s="6">
        <v>0</v>
      </c>
      <c r="G124" s="4">
        <f>+G121*0.3</f>
        <v>5700000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9CD80-9CE8-487D-923B-DBEB6501AD93}">
  <dimension ref="B3:N11"/>
  <sheetViews>
    <sheetView tabSelected="1" zoomScale="60" zoomScaleNormal="60" workbookViewId="0">
      <selection activeCell="F15" sqref="F15"/>
    </sheetView>
  </sheetViews>
  <sheetFormatPr baseColWidth="10" defaultRowHeight="28.5" x14ac:dyDescent="0.45"/>
  <cols>
    <col min="1" max="2" width="11.42578125" style="1"/>
    <col min="3" max="3" width="4.5703125" style="1" customWidth="1"/>
    <col min="4" max="4" width="20.28515625" style="1" customWidth="1"/>
    <col min="5" max="5" width="11.42578125" style="1"/>
    <col min="6" max="6" width="30.28515625" style="1" customWidth="1"/>
    <col min="7" max="7" width="26.7109375" style="1" bestFit="1" customWidth="1"/>
    <col min="8" max="8" width="15.85546875" style="1" bestFit="1" customWidth="1"/>
    <col min="9" max="11" width="11.42578125" style="1"/>
    <col min="12" max="12" width="15.42578125" style="1" customWidth="1"/>
    <col min="13" max="13" width="19.42578125" style="1" bestFit="1" customWidth="1"/>
    <col min="14" max="14" width="16" style="1" bestFit="1" customWidth="1"/>
    <col min="15" max="16384" width="11.42578125" style="1"/>
  </cols>
  <sheetData>
    <row r="3" spans="2:14" x14ac:dyDescent="0.45">
      <c r="B3" s="1" t="s">
        <v>33</v>
      </c>
      <c r="D3" s="1" t="s">
        <v>2</v>
      </c>
      <c r="G3" s="1">
        <v>1000000</v>
      </c>
    </row>
    <row r="5" spans="2:14" x14ac:dyDescent="0.45">
      <c r="D5" s="1" t="s">
        <v>22</v>
      </c>
      <c r="G5" s="1">
        <v>-200000</v>
      </c>
      <c r="J5" s="1" t="s">
        <v>22</v>
      </c>
      <c r="M5" s="1">
        <v>-200000</v>
      </c>
      <c r="N5" s="3">
        <f>+M5/M7</f>
        <v>0.33333333333333331</v>
      </c>
    </row>
    <row r="6" spans="2:14" x14ac:dyDescent="0.45">
      <c r="D6" s="1" t="s">
        <v>34</v>
      </c>
      <c r="G6" s="2">
        <v>-400000</v>
      </c>
      <c r="J6" s="1" t="s">
        <v>34</v>
      </c>
      <c r="M6" s="2">
        <v>-400000</v>
      </c>
      <c r="N6" s="3">
        <f>+M6/M7</f>
        <v>0.66666666666666663</v>
      </c>
    </row>
    <row r="7" spans="2:14" x14ac:dyDescent="0.45">
      <c r="M7" s="1">
        <f>SUM(M5:M6)</f>
        <v>-600000</v>
      </c>
      <c r="N7" s="3">
        <f>SUM(N5:N6)</f>
        <v>1</v>
      </c>
    </row>
    <row r="8" spans="2:14" x14ac:dyDescent="0.45">
      <c r="D8" s="1" t="s">
        <v>6</v>
      </c>
      <c r="G8" s="1">
        <f>SUM(G3:G6)</f>
        <v>400000</v>
      </c>
    </row>
    <row r="9" spans="2:14" x14ac:dyDescent="0.45">
      <c r="H9" s="1" t="s">
        <v>7</v>
      </c>
    </row>
    <row r="10" spans="2:14" x14ac:dyDescent="0.45">
      <c r="D10" s="1" t="s">
        <v>22</v>
      </c>
      <c r="E10" s="1" t="s">
        <v>35</v>
      </c>
      <c r="G10" s="1">
        <f>+G8*N5</f>
        <v>133333.33333333331</v>
      </c>
      <c r="H10" s="1">
        <v>0</v>
      </c>
    </row>
    <row r="11" spans="2:14" x14ac:dyDescent="0.45">
      <c r="D11" s="1" t="s">
        <v>23</v>
      </c>
      <c r="E11" s="1" t="s">
        <v>36</v>
      </c>
      <c r="G11" s="1">
        <f>+G8*N6</f>
        <v>266666.66666666663</v>
      </c>
      <c r="H11" s="1">
        <f>+G11*30%</f>
        <v>79999.999999999985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A65E0-3E3C-4148-998D-60D55DECAC26}">
  <dimension ref="A4:H13"/>
  <sheetViews>
    <sheetView zoomScale="90" zoomScaleNormal="90" workbookViewId="0">
      <selection activeCell="G16" sqref="G16"/>
    </sheetView>
  </sheetViews>
  <sheetFormatPr baseColWidth="10" defaultRowHeight="18.75" x14ac:dyDescent="0.3"/>
  <cols>
    <col min="1" max="1" width="13.28515625" style="10" bestFit="1" customWidth="1"/>
    <col min="2" max="3" width="11.42578125" style="10"/>
    <col min="4" max="4" width="11.7109375" style="4" bestFit="1" customWidth="1"/>
    <col min="5" max="5" width="14.28515625" style="4" bestFit="1" customWidth="1"/>
    <col min="6" max="8" width="11.42578125" style="4"/>
    <col min="9" max="16384" width="11.42578125" style="10"/>
  </cols>
  <sheetData>
    <row r="4" spans="1:7" x14ac:dyDescent="0.3">
      <c r="D4" s="4" t="s">
        <v>39</v>
      </c>
      <c r="E4" s="4" t="s">
        <v>40</v>
      </c>
      <c r="F4" s="4" t="s">
        <v>42</v>
      </c>
    </row>
    <row r="5" spans="1:7" x14ac:dyDescent="0.3">
      <c r="B5" s="10" t="s">
        <v>37</v>
      </c>
      <c r="D5" s="4">
        <v>100</v>
      </c>
    </row>
    <row r="7" spans="1:7" x14ac:dyDescent="0.3">
      <c r="A7" s="11">
        <v>43466</v>
      </c>
      <c r="B7" s="10" t="s">
        <v>38</v>
      </c>
      <c r="D7" s="4">
        <v>500</v>
      </c>
      <c r="E7" s="4">
        <f>+D5*D7</f>
        <v>50000</v>
      </c>
    </row>
    <row r="9" spans="1:7" x14ac:dyDescent="0.3">
      <c r="A9" s="11">
        <v>43496</v>
      </c>
      <c r="B9" s="10" t="s">
        <v>38</v>
      </c>
      <c r="D9" s="4">
        <v>600</v>
      </c>
      <c r="E9" s="4">
        <f>+D9*D5</f>
        <v>60000</v>
      </c>
      <c r="F9" s="4">
        <f>+E9-E7</f>
        <v>10000</v>
      </c>
      <c r="G9" s="4" t="s">
        <v>41</v>
      </c>
    </row>
    <row r="11" spans="1:7" x14ac:dyDescent="0.3">
      <c r="A11" s="11">
        <v>43511</v>
      </c>
      <c r="B11" s="10" t="s">
        <v>38</v>
      </c>
      <c r="D11" s="4">
        <v>700</v>
      </c>
      <c r="E11" s="4">
        <f>+D11*D5</f>
        <v>70000</v>
      </c>
      <c r="F11" s="4">
        <f>+E11-E9</f>
        <v>10000</v>
      </c>
      <c r="G11" s="4" t="s">
        <v>43</v>
      </c>
    </row>
    <row r="13" spans="1:7" x14ac:dyDescent="0.3">
      <c r="F13" s="4">
        <f>SUM(F9:F11)</f>
        <v>20000</v>
      </c>
    </row>
  </sheetData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57435-E43D-4F53-93C1-267B34486452}">
  <sheetPr>
    <tabColor rgb="FF00B050"/>
    <pageSetUpPr fitToPage="1"/>
  </sheetPr>
  <dimension ref="A1:H60"/>
  <sheetViews>
    <sheetView zoomScaleNormal="100" workbookViewId="0">
      <selection activeCell="E33" sqref="E33"/>
    </sheetView>
  </sheetViews>
  <sheetFormatPr baseColWidth="10" defaultColWidth="10.28515625" defaultRowHeight="12.75" x14ac:dyDescent="0.2"/>
  <cols>
    <col min="1" max="1" width="65.42578125" style="12" customWidth="1"/>
    <col min="2" max="2" width="6" style="12" bestFit="1" customWidth="1"/>
    <col min="3" max="3" width="17.28515625" style="12" customWidth="1"/>
    <col min="4" max="4" width="6" style="12" bestFit="1" customWidth="1"/>
    <col min="5" max="5" width="18" style="12" customWidth="1"/>
    <col min="6" max="6" width="15" style="12" bestFit="1" customWidth="1"/>
    <col min="7" max="7" width="16.7109375" style="12" bestFit="1" customWidth="1"/>
    <col min="8" max="32" width="10.28515625" style="12" customWidth="1"/>
    <col min="33" max="16384" width="10.28515625" style="12"/>
  </cols>
  <sheetData>
    <row r="1" spans="1:5" ht="18" x14ac:dyDescent="0.25">
      <c r="A1" s="40" t="s">
        <v>44</v>
      </c>
      <c r="B1" s="40"/>
      <c r="C1" s="40"/>
      <c r="D1" s="40"/>
      <c r="E1" s="41"/>
    </row>
    <row r="2" spans="1:5" ht="18" x14ac:dyDescent="0.25">
      <c r="A2" s="40" t="s">
        <v>45</v>
      </c>
      <c r="B2" s="40"/>
      <c r="C2" s="40"/>
      <c r="D2" s="40"/>
      <c r="E2" s="41"/>
    </row>
    <row r="3" spans="1:5" ht="18" x14ac:dyDescent="0.25">
      <c r="A3" s="40" t="s">
        <v>46</v>
      </c>
      <c r="B3" s="40"/>
      <c r="C3" s="40"/>
      <c r="D3" s="40"/>
      <c r="E3" s="41"/>
    </row>
    <row r="4" spans="1:5" x14ac:dyDescent="0.2">
      <c r="A4" s="13"/>
      <c r="B4" s="13"/>
      <c r="C4" s="13"/>
      <c r="D4" s="13"/>
      <c r="E4" s="41"/>
    </row>
    <row r="5" spans="1:5" ht="13.5" thickBot="1" x14ac:dyDescent="0.25">
      <c r="A5" s="14"/>
      <c r="B5" s="15"/>
      <c r="C5" s="14"/>
      <c r="D5" s="15"/>
      <c r="E5" s="14"/>
    </row>
    <row r="6" spans="1:5" x14ac:dyDescent="0.2">
      <c r="A6" s="16" t="s">
        <v>47</v>
      </c>
      <c r="B6" s="17"/>
      <c r="C6" s="18"/>
      <c r="D6" s="17"/>
      <c r="E6" s="18"/>
    </row>
    <row r="7" spans="1:5" x14ac:dyDescent="0.2">
      <c r="A7" s="19" t="s">
        <v>48</v>
      </c>
      <c r="B7" s="20">
        <v>20</v>
      </c>
      <c r="C7" s="19"/>
      <c r="D7" s="20"/>
      <c r="E7" s="19"/>
    </row>
    <row r="8" spans="1:5" x14ac:dyDescent="0.2">
      <c r="A8" s="19" t="s">
        <v>49</v>
      </c>
      <c r="B8" s="20">
        <v>21</v>
      </c>
      <c r="C8" s="19"/>
      <c r="D8" s="20"/>
      <c r="E8" s="19"/>
    </row>
    <row r="9" spans="1:5" x14ac:dyDescent="0.2">
      <c r="A9" s="19" t="s">
        <v>50</v>
      </c>
      <c r="B9" s="20">
        <v>22</v>
      </c>
      <c r="C9" s="19"/>
      <c r="D9" s="20"/>
      <c r="E9" s="19"/>
    </row>
    <row r="10" spans="1:5" x14ac:dyDescent="0.2">
      <c r="A10" s="21" t="s">
        <v>51</v>
      </c>
      <c r="B10" s="20">
        <v>23</v>
      </c>
      <c r="C10" s="19"/>
      <c r="D10" s="20"/>
      <c r="E10" s="19"/>
    </row>
    <row r="11" spans="1:5" x14ac:dyDescent="0.2">
      <c r="A11" s="19" t="s">
        <v>52</v>
      </c>
      <c r="B11" s="20"/>
      <c r="C11" s="19"/>
      <c r="D11" s="20">
        <v>24</v>
      </c>
      <c r="E11" s="22">
        <f>SUM(C7:C10)</f>
        <v>0</v>
      </c>
    </row>
    <row r="12" spans="1:5" x14ac:dyDescent="0.2">
      <c r="A12" s="19" t="s">
        <v>53</v>
      </c>
      <c r="B12" s="20">
        <v>25</v>
      </c>
      <c r="C12" s="19"/>
      <c r="D12" s="20"/>
      <c r="E12" s="19"/>
    </row>
    <row r="13" spans="1:5" x14ac:dyDescent="0.2">
      <c r="A13" s="19" t="s">
        <v>54</v>
      </c>
      <c r="B13" s="20"/>
      <c r="C13" s="19"/>
      <c r="D13" s="20">
        <v>26</v>
      </c>
      <c r="E13" s="22">
        <f>+E11-C12</f>
        <v>0</v>
      </c>
    </row>
    <row r="14" spans="1:5" x14ac:dyDescent="0.2">
      <c r="A14" s="23" t="s">
        <v>55</v>
      </c>
      <c r="B14" s="24"/>
      <c r="C14" s="25"/>
      <c r="D14" s="24"/>
      <c r="E14" s="25"/>
    </row>
    <row r="15" spans="1:5" x14ac:dyDescent="0.2">
      <c r="A15" s="19" t="s">
        <v>56</v>
      </c>
      <c r="B15" s="20">
        <v>27</v>
      </c>
      <c r="C15" s="19">
        <v>2000000</v>
      </c>
      <c r="D15" s="20"/>
      <c r="E15" s="19"/>
    </row>
    <row r="16" spans="1:5" ht="12.75" customHeight="1" x14ac:dyDescent="0.2">
      <c r="A16" s="19" t="s">
        <v>57</v>
      </c>
      <c r="B16" s="20">
        <v>28</v>
      </c>
      <c r="C16" s="19"/>
      <c r="D16" s="20"/>
      <c r="E16" s="19"/>
    </row>
    <row r="17" spans="1:8" x14ac:dyDescent="0.2">
      <c r="A17" s="19" t="s">
        <v>58</v>
      </c>
      <c r="B17" s="20">
        <v>29</v>
      </c>
      <c r="C17" s="19">
        <v>100000</v>
      </c>
      <c r="D17" s="20"/>
      <c r="E17" s="19"/>
    </row>
    <row r="18" spans="1:8" x14ac:dyDescent="0.2">
      <c r="A18" s="19" t="s">
        <v>59</v>
      </c>
      <c r="B18" s="20">
        <v>30</v>
      </c>
      <c r="C18" s="19">
        <v>1500000</v>
      </c>
      <c r="D18" s="20"/>
      <c r="E18" s="19"/>
    </row>
    <row r="19" spans="1:8" x14ac:dyDescent="0.2">
      <c r="A19" s="19" t="s">
        <v>60</v>
      </c>
      <c r="B19" s="20">
        <v>31</v>
      </c>
      <c r="C19" s="19">
        <v>0</v>
      </c>
      <c r="D19" s="20"/>
      <c r="E19" s="19"/>
    </row>
    <row r="20" spans="1:8" x14ac:dyDescent="0.2">
      <c r="A20" s="19" t="s">
        <v>61</v>
      </c>
      <c r="B20" s="20">
        <v>32</v>
      </c>
      <c r="C20" s="19">
        <v>0</v>
      </c>
      <c r="D20" s="26"/>
      <c r="E20" s="19"/>
    </row>
    <row r="21" spans="1:8" x14ac:dyDescent="0.2">
      <c r="A21" s="19" t="s">
        <v>62</v>
      </c>
      <c r="B21" s="20">
        <v>33</v>
      </c>
      <c r="C21" s="19"/>
      <c r="D21" s="26"/>
      <c r="E21" s="19"/>
    </row>
    <row r="22" spans="1:8" x14ac:dyDescent="0.2">
      <c r="A22" s="19" t="s">
        <v>63</v>
      </c>
      <c r="B22" s="20">
        <v>34</v>
      </c>
      <c r="C22" s="19">
        <v>1500000</v>
      </c>
      <c r="D22" s="20"/>
      <c r="E22" s="19"/>
    </row>
    <row r="23" spans="1:8" s="28" customFormat="1" x14ac:dyDescent="0.2">
      <c r="A23" s="22" t="s">
        <v>64</v>
      </c>
      <c r="B23" s="27"/>
      <c r="D23" s="27">
        <v>35</v>
      </c>
      <c r="E23" s="29">
        <f>SUM(C15:C21)-C22</f>
        <v>2100000</v>
      </c>
      <c r="G23" s="28">
        <f>+C22</f>
        <v>1500000</v>
      </c>
    </row>
    <row r="24" spans="1:8" x14ac:dyDescent="0.2">
      <c r="A24" s="25" t="s">
        <v>65</v>
      </c>
      <c r="B24" s="24"/>
      <c r="C24" s="25"/>
      <c r="D24" s="24"/>
      <c r="E24" s="25"/>
      <c r="G24" s="12">
        <f>+E23</f>
        <v>2100000</v>
      </c>
    </row>
    <row r="25" spans="1:8" x14ac:dyDescent="0.2">
      <c r="A25" s="19" t="s">
        <v>66</v>
      </c>
      <c r="B25" s="20">
        <v>36</v>
      </c>
      <c r="C25" s="19"/>
      <c r="D25" s="20"/>
      <c r="E25" s="19"/>
      <c r="G25" s="36">
        <f>+G23/G24</f>
        <v>0.7142857142857143</v>
      </c>
    </row>
    <row r="26" spans="1:8" x14ac:dyDescent="0.2">
      <c r="A26" s="19" t="s">
        <v>67</v>
      </c>
      <c r="B26" s="20">
        <v>37</v>
      </c>
      <c r="C26" s="19"/>
      <c r="D26" s="20"/>
      <c r="E26" s="19"/>
    </row>
    <row r="27" spans="1:8" x14ac:dyDescent="0.2">
      <c r="A27" s="19" t="s">
        <v>68</v>
      </c>
      <c r="B27" s="20">
        <v>38</v>
      </c>
      <c r="C27" s="19"/>
      <c r="D27" s="20"/>
      <c r="E27" s="30"/>
    </row>
    <row r="28" spans="1:8" x14ac:dyDescent="0.2">
      <c r="A28" s="19" t="s">
        <v>69</v>
      </c>
      <c r="B28" s="20">
        <v>39</v>
      </c>
      <c r="C28" s="19">
        <f>SUM(C25:C27)</f>
        <v>0</v>
      </c>
      <c r="D28" s="20"/>
      <c r="E28" s="19"/>
    </row>
    <row r="29" spans="1:8" x14ac:dyDescent="0.2">
      <c r="A29" s="21" t="s">
        <v>70</v>
      </c>
      <c r="B29" s="20">
        <v>40</v>
      </c>
      <c r="C29" s="19">
        <v>200000</v>
      </c>
      <c r="D29" s="26"/>
      <c r="E29" s="19"/>
    </row>
    <row r="30" spans="1:8" x14ac:dyDescent="0.2">
      <c r="A30" s="19" t="s">
        <v>71</v>
      </c>
      <c r="B30" s="20">
        <v>41</v>
      </c>
      <c r="C30" s="19">
        <f>938000-100000</f>
        <v>838000</v>
      </c>
      <c r="D30" s="20"/>
      <c r="E30" s="19"/>
    </row>
    <row r="31" spans="1:8" x14ac:dyDescent="0.2">
      <c r="A31" s="19" t="s">
        <v>72</v>
      </c>
      <c r="B31" s="20">
        <v>42</v>
      </c>
      <c r="C31" s="19">
        <v>0</v>
      </c>
      <c r="D31" s="20"/>
      <c r="E31" s="19"/>
    </row>
    <row r="32" spans="1:8" x14ac:dyDescent="0.2">
      <c r="A32" s="19" t="s">
        <v>73</v>
      </c>
      <c r="B32" s="20">
        <v>43</v>
      </c>
      <c r="C32" s="19">
        <v>0</v>
      </c>
      <c r="D32" s="20"/>
      <c r="E32" s="19"/>
      <c r="G32" s="12">
        <f>200000+938000+12000</f>
        <v>1150000</v>
      </c>
      <c r="H32" s="12">
        <f>+G25*G32</f>
        <v>821428.57142857148</v>
      </c>
    </row>
    <row r="33" spans="1:8" x14ac:dyDescent="0.2">
      <c r="A33" s="19" t="s">
        <v>74</v>
      </c>
      <c r="B33" s="20">
        <v>44</v>
      </c>
      <c r="C33" s="19">
        <v>12000</v>
      </c>
      <c r="D33" s="26"/>
      <c r="E33" s="19"/>
    </row>
    <row r="34" spans="1:8" s="28" customFormat="1" x14ac:dyDescent="0.2">
      <c r="A34" s="22" t="s">
        <v>75</v>
      </c>
      <c r="B34" s="27"/>
      <c r="C34" s="22"/>
      <c r="D34" s="27">
        <v>45</v>
      </c>
      <c r="E34" s="29">
        <f>SUM(C28:C33)</f>
        <v>1050000</v>
      </c>
    </row>
    <row r="35" spans="1:8" x14ac:dyDescent="0.2">
      <c r="A35" s="25" t="s">
        <v>76</v>
      </c>
      <c r="B35" s="24"/>
      <c r="C35" s="25"/>
      <c r="D35" s="24"/>
      <c r="E35" s="25"/>
    </row>
    <row r="36" spans="1:8" x14ac:dyDescent="0.2">
      <c r="A36" s="19" t="s">
        <v>77</v>
      </c>
      <c r="B36" s="20"/>
      <c r="C36" s="19"/>
      <c r="D36" s="20">
        <v>46</v>
      </c>
      <c r="E36" s="29">
        <f>+E23-E34</f>
        <v>1050000</v>
      </c>
    </row>
    <row r="37" spans="1:8" x14ac:dyDescent="0.2">
      <c r="A37" s="19" t="s">
        <v>78</v>
      </c>
      <c r="B37" s="20">
        <v>47</v>
      </c>
      <c r="C37" s="19">
        <f>+E36*30%</f>
        <v>315000</v>
      </c>
      <c r="D37" s="20"/>
      <c r="G37" s="12">
        <f>+G35-G36</f>
        <v>0</v>
      </c>
    </row>
    <row r="38" spans="1:8" x14ac:dyDescent="0.2">
      <c r="A38" s="19" t="s">
        <v>79</v>
      </c>
      <c r="B38" s="20">
        <v>48</v>
      </c>
      <c r="C38" s="12">
        <v>0</v>
      </c>
      <c r="D38" s="20"/>
      <c r="E38" s="19"/>
    </row>
    <row r="39" spans="1:8" ht="13.5" thickBot="1" x14ac:dyDescent="0.25">
      <c r="A39" s="22" t="s">
        <v>80</v>
      </c>
      <c r="B39" s="27"/>
      <c r="C39" s="22"/>
      <c r="D39" s="27">
        <v>49</v>
      </c>
      <c r="E39" s="29">
        <f>+C37+C38</f>
        <v>315000</v>
      </c>
      <c r="F39" s="12">
        <f>+'[2]CONCILIACION FISCAL'!F52</f>
        <v>0</v>
      </c>
      <c r="G39" s="31">
        <f>+E39-F39</f>
        <v>315000</v>
      </c>
      <c r="H39" s="28" t="s">
        <v>81</v>
      </c>
    </row>
    <row r="40" spans="1:8" ht="13.5" thickTop="1" x14ac:dyDescent="0.2">
      <c r="A40" s="19" t="s">
        <v>82</v>
      </c>
      <c r="B40" s="20">
        <v>50</v>
      </c>
      <c r="C40" s="19">
        <v>0</v>
      </c>
      <c r="D40" s="20"/>
      <c r="E40" s="19"/>
    </row>
    <row r="41" spans="1:8" x14ac:dyDescent="0.2">
      <c r="A41" s="19" t="s">
        <v>83</v>
      </c>
      <c r="B41" s="20">
        <v>51</v>
      </c>
      <c r="C41" s="19">
        <v>0</v>
      </c>
      <c r="D41" s="20"/>
      <c r="E41" s="19"/>
    </row>
    <row r="42" spans="1:8" x14ac:dyDescent="0.2">
      <c r="A42" s="19" t="s">
        <v>84</v>
      </c>
      <c r="B42" s="20">
        <v>52</v>
      </c>
      <c r="C42" s="19">
        <v>0</v>
      </c>
      <c r="D42" s="20"/>
      <c r="E42" s="19"/>
    </row>
    <row r="43" spans="1:8" x14ac:dyDescent="0.2">
      <c r="A43" s="19" t="s">
        <v>85</v>
      </c>
      <c r="B43" s="20">
        <v>53</v>
      </c>
      <c r="C43" s="19">
        <v>0</v>
      </c>
      <c r="D43" s="20"/>
      <c r="E43" s="30"/>
    </row>
    <row r="44" spans="1:8" s="28" customFormat="1" x14ac:dyDescent="0.2">
      <c r="A44" s="22" t="s">
        <v>86</v>
      </c>
      <c r="B44" s="27"/>
      <c r="C44" s="22"/>
      <c r="D44" s="27">
        <v>54</v>
      </c>
      <c r="E44" s="29">
        <f>+E39-C40-C41-C42-C43</f>
        <v>315000</v>
      </c>
    </row>
    <row r="45" spans="1:8" x14ac:dyDescent="0.2">
      <c r="A45" s="25" t="s">
        <v>87</v>
      </c>
      <c r="B45" s="24"/>
      <c r="C45" s="25"/>
      <c r="D45" s="24"/>
      <c r="E45" s="25"/>
    </row>
    <row r="46" spans="1:8" x14ac:dyDescent="0.2">
      <c r="A46" s="19" t="s">
        <v>88</v>
      </c>
      <c r="B46" s="20">
        <v>55</v>
      </c>
      <c r="C46" s="19">
        <v>0</v>
      </c>
      <c r="D46" s="20"/>
      <c r="E46" s="19"/>
    </row>
    <row r="47" spans="1:8" x14ac:dyDescent="0.2">
      <c r="A47" s="19" t="s">
        <v>89</v>
      </c>
      <c r="B47" s="20">
        <v>56</v>
      </c>
      <c r="C47" s="19">
        <v>0</v>
      </c>
      <c r="D47" s="20"/>
      <c r="E47" s="19"/>
    </row>
    <row r="48" spans="1:8" x14ac:dyDescent="0.2">
      <c r="A48" s="19" t="s">
        <v>90</v>
      </c>
      <c r="B48" s="20">
        <v>57</v>
      </c>
      <c r="C48" s="19">
        <v>0</v>
      </c>
      <c r="D48" s="20"/>
      <c r="E48" s="19"/>
    </row>
    <row r="49" spans="1:5" x14ac:dyDescent="0.2">
      <c r="A49" s="21" t="s">
        <v>91</v>
      </c>
      <c r="B49" s="20">
        <v>58</v>
      </c>
      <c r="C49" s="19"/>
      <c r="D49" s="20"/>
      <c r="E49" s="19"/>
    </row>
    <row r="50" spans="1:5" x14ac:dyDescent="0.2">
      <c r="A50" s="19" t="s">
        <v>92</v>
      </c>
      <c r="B50" s="20">
        <v>59</v>
      </c>
      <c r="C50" s="19">
        <v>0</v>
      </c>
      <c r="D50" s="20"/>
      <c r="E50" s="19"/>
    </row>
    <row r="51" spans="1:5" x14ac:dyDescent="0.2">
      <c r="A51" s="32" t="s">
        <v>93</v>
      </c>
      <c r="B51" s="27"/>
      <c r="C51" s="22"/>
      <c r="D51" s="27">
        <v>60</v>
      </c>
      <c r="E51" s="29">
        <f>+E44-C46-C47-C48-C49-C50</f>
        <v>315000</v>
      </c>
    </row>
    <row r="52" spans="1:5" x14ac:dyDescent="0.2">
      <c r="A52" s="19" t="s">
        <v>94</v>
      </c>
      <c r="B52" s="20">
        <v>61</v>
      </c>
      <c r="C52" s="19">
        <v>0</v>
      </c>
      <c r="D52" s="20"/>
      <c r="E52" s="19"/>
    </row>
    <row r="53" spans="1:5" x14ac:dyDescent="0.2">
      <c r="A53" s="19" t="s">
        <v>95</v>
      </c>
      <c r="B53" s="20">
        <v>62</v>
      </c>
      <c r="C53" s="19">
        <v>0</v>
      </c>
      <c r="D53" s="20"/>
      <c r="E53" s="19"/>
    </row>
    <row r="54" spans="1:5" x14ac:dyDescent="0.2">
      <c r="A54" s="19" t="s">
        <v>96</v>
      </c>
      <c r="B54" s="20">
        <v>63</v>
      </c>
      <c r="C54" s="19">
        <f>-[3]Solución!F36</f>
        <v>1000</v>
      </c>
      <c r="D54" s="20"/>
      <c r="E54" s="19"/>
    </row>
    <row r="55" spans="1:5" x14ac:dyDescent="0.2">
      <c r="A55" s="22" t="s">
        <v>97</v>
      </c>
      <c r="B55" s="27"/>
      <c r="C55" s="22"/>
      <c r="D55" s="27">
        <v>64</v>
      </c>
      <c r="E55" s="29">
        <f>+E51-C52-C53-C54</f>
        <v>314000</v>
      </c>
    </row>
    <row r="56" spans="1:5" x14ac:dyDescent="0.2">
      <c r="A56" s="25" t="s">
        <v>98</v>
      </c>
      <c r="B56" s="24"/>
      <c r="C56" s="25"/>
      <c r="D56" s="24"/>
      <c r="E56" s="25"/>
    </row>
    <row r="57" spans="1:5" x14ac:dyDescent="0.2">
      <c r="A57" s="19" t="s">
        <v>99</v>
      </c>
      <c r="B57" s="20"/>
      <c r="C57" s="19"/>
      <c r="D57" s="20">
        <v>82</v>
      </c>
      <c r="E57" s="19">
        <v>0</v>
      </c>
    </row>
    <row r="58" spans="1:5" x14ac:dyDescent="0.2">
      <c r="A58" s="19" t="s">
        <v>100</v>
      </c>
      <c r="B58" s="20"/>
      <c r="C58" s="19"/>
      <c r="D58" s="20">
        <v>83</v>
      </c>
      <c r="E58" s="29">
        <f>+E55+E57</f>
        <v>314000</v>
      </c>
    </row>
    <row r="59" spans="1:5" x14ac:dyDescent="0.2">
      <c r="A59" s="19" t="s">
        <v>101</v>
      </c>
      <c r="B59" s="20"/>
      <c r="C59" s="19"/>
      <c r="D59" s="20">
        <v>84</v>
      </c>
      <c r="E59" s="19">
        <v>0</v>
      </c>
    </row>
    <row r="60" spans="1:5" ht="13.5" thickBot="1" x14ac:dyDescent="0.25">
      <c r="A60" s="33" t="s">
        <v>102</v>
      </c>
      <c r="B60" s="34"/>
      <c r="C60" s="33"/>
      <c r="D60" s="34">
        <v>85</v>
      </c>
      <c r="E60" s="35">
        <f>+E58-E59</f>
        <v>314000</v>
      </c>
    </row>
  </sheetData>
  <mergeCells count="4">
    <mergeCell ref="A1:D1"/>
    <mergeCell ref="E1:E4"/>
    <mergeCell ref="A2:D2"/>
    <mergeCell ref="A3:D3"/>
  </mergeCells>
  <printOptions horizontalCentered="1"/>
  <pageMargins left="0" right="0" top="0.98425196850393704" bottom="0.98425196850393704" header="0" footer="0"/>
  <pageSetup scale="85" orientation="portrait" horizontalDpi="120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84B01-74C2-4D58-A7F0-AE3A5AD9764B}">
  <dimension ref="C4:Q20"/>
  <sheetViews>
    <sheetView topLeftCell="A7" zoomScale="110" zoomScaleNormal="110" workbookViewId="0">
      <selection activeCell="H21" sqref="H21"/>
    </sheetView>
  </sheetViews>
  <sheetFormatPr baseColWidth="10" defaultRowHeight="15" x14ac:dyDescent="0.25"/>
  <cols>
    <col min="1" max="16384" width="11.42578125" style="37"/>
  </cols>
  <sheetData>
    <row r="4" spans="3:17" x14ac:dyDescent="0.25">
      <c r="C4" s="37" t="s">
        <v>103</v>
      </c>
      <c r="K4" s="37" t="s">
        <v>103</v>
      </c>
    </row>
    <row r="6" spans="3:17" x14ac:dyDescent="0.25">
      <c r="C6" s="37" t="s">
        <v>104</v>
      </c>
      <c r="E6" s="37">
        <v>10000</v>
      </c>
      <c r="K6" s="37" t="s">
        <v>104</v>
      </c>
      <c r="M6" s="37">
        <v>10000</v>
      </c>
    </row>
    <row r="7" spans="3:17" x14ac:dyDescent="0.25">
      <c r="C7" s="37" t="s">
        <v>105</v>
      </c>
      <c r="E7" s="37">
        <v>10</v>
      </c>
      <c r="K7" s="37" t="s">
        <v>105</v>
      </c>
      <c r="M7" s="37">
        <v>10</v>
      </c>
    </row>
    <row r="8" spans="3:17" x14ac:dyDescent="0.25">
      <c r="C8" s="37" t="s">
        <v>106</v>
      </c>
      <c r="E8" s="37">
        <v>5</v>
      </c>
      <c r="K8" s="37" t="s">
        <v>106</v>
      </c>
      <c r="M8" s="37">
        <v>5</v>
      </c>
    </row>
    <row r="9" spans="3:17" x14ac:dyDescent="0.25">
      <c r="C9" s="37" t="s">
        <v>107</v>
      </c>
      <c r="E9" s="38">
        <v>2</v>
      </c>
      <c r="K9" s="37" t="s">
        <v>107</v>
      </c>
      <c r="M9" s="38">
        <v>2</v>
      </c>
    </row>
    <row r="10" spans="3:17" x14ac:dyDescent="0.25">
      <c r="E10" s="37">
        <f>SUM(E6:E9)</f>
        <v>10017</v>
      </c>
      <c r="F10" s="37" t="s">
        <v>108</v>
      </c>
      <c r="M10" s="37">
        <f>SUM(M6:M9)</f>
        <v>10017</v>
      </c>
      <c r="N10" s="37" t="s">
        <v>108</v>
      </c>
    </row>
    <row r="11" spans="3:17" x14ac:dyDescent="0.25">
      <c r="C11" s="37" t="s">
        <v>109</v>
      </c>
      <c r="D11" s="39">
        <v>0.13</v>
      </c>
      <c r="E11" s="38">
        <f>+E10*D11</f>
        <v>1302.21</v>
      </c>
      <c r="F11" s="37" t="s">
        <v>110</v>
      </c>
      <c r="K11" s="37" t="s">
        <v>109</v>
      </c>
      <c r="L11" s="39">
        <v>0.13</v>
      </c>
      <c r="M11" s="38">
        <f>+M10*L11</f>
        <v>1302.21</v>
      </c>
      <c r="N11" s="37" t="s">
        <v>119</v>
      </c>
    </row>
    <row r="12" spans="3:17" x14ac:dyDescent="0.25">
      <c r="E12" s="37">
        <f>SUM(E10:E11)</f>
        <v>11319.21</v>
      </c>
      <c r="M12" s="37">
        <f>SUM(M10:M11)</f>
        <v>11319.21</v>
      </c>
      <c r="N12" s="37" t="s">
        <v>108</v>
      </c>
    </row>
    <row r="14" spans="3:17" x14ac:dyDescent="0.25">
      <c r="C14" s="37" t="s">
        <v>111</v>
      </c>
      <c r="E14" s="37">
        <f>+E10</f>
        <v>10017</v>
      </c>
      <c r="K14" s="37" t="s">
        <v>111</v>
      </c>
      <c r="M14" s="37">
        <f>+M12</f>
        <v>11319.21</v>
      </c>
    </row>
    <row r="15" spans="3:17" x14ac:dyDescent="0.25">
      <c r="C15" s="37" t="s">
        <v>112</v>
      </c>
      <c r="D15" s="39">
        <v>0.4</v>
      </c>
      <c r="E15" s="38">
        <f>+E14*D15</f>
        <v>4006.8</v>
      </c>
      <c r="H15" s="37" t="s">
        <v>114</v>
      </c>
      <c r="K15" s="37" t="s">
        <v>112</v>
      </c>
      <c r="L15" s="39">
        <v>0.4</v>
      </c>
      <c r="M15" s="38">
        <f>+M14*L15</f>
        <v>4527.6840000000002</v>
      </c>
      <c r="P15" s="37" t="s">
        <v>114</v>
      </c>
    </row>
    <row r="16" spans="3:17" x14ac:dyDescent="0.25">
      <c r="C16" s="37" t="s">
        <v>113</v>
      </c>
      <c r="E16" s="37">
        <f>SUM(E14:E15)</f>
        <v>14023.8</v>
      </c>
      <c r="H16" s="37" t="s">
        <v>115</v>
      </c>
      <c r="I16" s="37">
        <f>+E11</f>
        <v>1302.21</v>
      </c>
      <c r="K16" s="37" t="s">
        <v>113</v>
      </c>
      <c r="M16" s="37">
        <f>SUM(M14:M15)</f>
        <v>15846.894</v>
      </c>
      <c r="P16" s="37" t="s">
        <v>115</v>
      </c>
      <c r="Q16" s="37">
        <f>+M11</f>
        <v>1302.21</v>
      </c>
    </row>
    <row r="17" spans="4:17" x14ac:dyDescent="0.25">
      <c r="H17" s="37" t="s">
        <v>116</v>
      </c>
      <c r="I17" s="38">
        <f>+E18</f>
        <v>1823.0940000000001</v>
      </c>
      <c r="P17" s="37" t="s">
        <v>116</v>
      </c>
      <c r="Q17" s="38">
        <f>+M18</f>
        <v>0</v>
      </c>
    </row>
    <row r="18" spans="4:17" x14ac:dyDescent="0.25">
      <c r="D18" s="39">
        <v>0.13</v>
      </c>
      <c r="E18" s="38">
        <f>+E16*D18</f>
        <v>1823.0940000000001</v>
      </c>
      <c r="H18" s="37" t="s">
        <v>117</v>
      </c>
      <c r="I18" s="37">
        <f>+I17-I16</f>
        <v>520.88400000000001</v>
      </c>
      <c r="L18" s="39">
        <v>0.13</v>
      </c>
      <c r="M18" s="38"/>
      <c r="P18" s="37" t="s">
        <v>118</v>
      </c>
      <c r="Q18" s="37">
        <f>+Q17-Q16</f>
        <v>-1302.21</v>
      </c>
    </row>
    <row r="20" spans="4:17" x14ac:dyDescent="0.25">
      <c r="E20" s="37">
        <f>+E16+E18</f>
        <v>15846.894</v>
      </c>
      <c r="M20" s="37">
        <f>+M16+M18</f>
        <v>15846.894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Escenario Gan Cap</vt:lpstr>
      <vt:lpstr>Eje 27-3-</vt:lpstr>
      <vt:lpstr>Diferencial cambiario</vt:lpstr>
      <vt:lpstr>D-101 Proporc</vt:lpstr>
      <vt:lpstr>IGV</vt:lpstr>
      <vt:lpstr>'D-101 Proporc'!Área_de_impresión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Ramirez</dc:creator>
  <cp:lastModifiedBy>Erik Ramirez</cp:lastModifiedBy>
  <dcterms:created xsi:type="dcterms:W3CDTF">2019-03-28T01:01:34Z</dcterms:created>
  <dcterms:modified xsi:type="dcterms:W3CDTF">2020-02-10T23:26:20Z</dcterms:modified>
</cp:coreProperties>
</file>