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jwong\Desktop\PROCEDIMIENTOS Y FORMULARIOS\"/>
    </mc:Choice>
  </mc:AlternateContent>
  <xr:revisionPtr revIDLastSave="0" documentId="8_{FB475D2F-3256-47EF-8B01-0EAD68DA2198}" xr6:coauthVersionLast="47" xr6:coauthVersionMax="47" xr10:uidLastSave="{00000000-0000-0000-0000-000000000000}"/>
  <bookViews>
    <workbookView xWindow="-120" yWindow="-120" windowWidth="24240" windowHeight="13140" tabRatio="737" activeTab="11" xr2:uid="{00000000-000D-0000-FFFF-FFFF00000000}"/>
  </bookViews>
  <sheets>
    <sheet name="Supuestos" sheetId="23" r:id="rId1"/>
    <sheet name="CAPM-WACC" sheetId="27" r:id="rId2"/>
    <sheet name="GOA" sheetId="7" r:id="rId3"/>
    <sheet name="Qn" sheetId="14" r:id="rId4"/>
    <sheet name="DF" sheetId="19" r:id="rId5"/>
    <sheet name="Pat" sheetId="20" r:id="rId6"/>
    <sheet name="Pt" sheetId="28" r:id="rId7"/>
    <sheet name="Kd" sheetId="21" r:id="rId8"/>
    <sheet name="t" sheetId="26" r:id="rId9"/>
    <sheet name="Calculo de Costo" sheetId="6" r:id="rId10"/>
    <sheet name="Costo Asociado" sheetId="1" r:id="rId11"/>
    <sheet name="Adjuntos" sheetId="4" r:id="rId12"/>
  </sheets>
  <externalReferences>
    <externalReference r:id="rId13"/>
  </externalReferences>
  <definedNames>
    <definedName name="_xlnm.Print_Area" localSheetId="1">'CAPM-WACC'!$A$1:$H$47</definedName>
    <definedName name="IPCEU">[1]Hoja1!$P$10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28" l="1"/>
  <c r="G19" i="28"/>
  <c r="G28" i="28" l="1"/>
  <c r="C28" i="27" s="1"/>
  <c r="B3" i="26" l="1"/>
  <c r="B3" i="28"/>
  <c r="B3" i="20"/>
  <c r="B3" i="19" l="1"/>
  <c r="B3" i="14"/>
  <c r="B3" i="7"/>
  <c r="E13" i="7" l="1"/>
  <c r="B11" i="21"/>
  <c r="B10" i="21"/>
  <c r="B9" i="21"/>
  <c r="F11" i="21"/>
  <c r="F10" i="21"/>
  <c r="F9" i="21"/>
  <c r="D18" i="7"/>
  <c r="F12" i="14" l="1"/>
  <c r="J51" i="27"/>
  <c r="J49" i="27"/>
  <c r="C46" i="27"/>
  <c r="F45" i="27"/>
  <c r="D45" i="27"/>
  <c r="F44" i="27"/>
  <c r="D44" i="27"/>
  <c r="C35" i="27"/>
  <c r="C29" i="27"/>
  <c r="C30" i="27"/>
  <c r="C23" i="27" s="1"/>
  <c r="C25" i="27" s="1"/>
  <c r="E12" i="27"/>
  <c r="E11" i="27"/>
  <c r="E13" i="27" l="1"/>
  <c r="E14" i="27" s="1"/>
  <c r="E16" i="27" s="1"/>
  <c r="E17" i="27" s="1"/>
  <c r="E19" i="27" s="1"/>
  <c r="F24" i="6"/>
  <c r="J52" i="27" l="1"/>
  <c r="H45" i="27"/>
  <c r="J45" i="27" l="1"/>
  <c r="G11" i="19" l="1"/>
  <c r="F8" i="21" l="1"/>
  <c r="B6" i="26" l="1"/>
  <c r="G15" i="20"/>
  <c r="E12" i="7" l="1"/>
  <c r="F16" i="21"/>
  <c r="D50" i="27" s="1"/>
  <c r="J50" i="27" l="1"/>
  <c r="J53" i="27" s="1"/>
  <c r="H44" i="27"/>
  <c r="J44" i="27" l="1"/>
  <c r="J46" i="27"/>
  <c r="E18" i="7"/>
  <c r="E32" i="7" l="1"/>
  <c r="H24" i="6"/>
  <c r="H21" i="6"/>
  <c r="E14" i="14" l="1"/>
  <c r="D14" i="14"/>
  <c r="C14" i="14"/>
  <c r="F14" i="14"/>
  <c r="C19" i="7"/>
  <c r="E19" i="7" l="1"/>
  <c r="F21" i="6" s="1"/>
  <c r="F27" i="6" l="1"/>
  <c r="C8" i="1" s="1"/>
  <c r="E11" i="7" s="1"/>
  <c r="E15" i="7" s="1"/>
  <c r="E22" i="7" s="1"/>
  <c r="E24" i="7" l="1"/>
  <c r="B28" i="7" s="1"/>
  <c r="E25" i="7" l="1"/>
  <c r="D28" i="7" s="1"/>
  <c r="B29" i="7" s="1"/>
  <c r="B4" i="1" l="1"/>
  <c r="B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Joselyn Gurdian Tenorio</author>
  </authors>
  <commentList>
    <comment ref="B4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Joselyn Gurdian Tenorio:</t>
        </r>
        <r>
          <rPr>
            <sz val="9"/>
            <color indexed="81"/>
            <rFont val="Tahoma"/>
            <family val="2"/>
          </rPr>
          <t xml:space="preserve">
Solo la porción a largo plazo</t>
        </r>
      </text>
    </comment>
  </commentList>
</comments>
</file>

<file path=xl/sharedStrings.xml><?xml version="1.0" encoding="utf-8"?>
<sst xmlns="http://schemas.openxmlformats.org/spreadsheetml/2006/main" count="257" uniqueCount="196">
  <si>
    <t>Matrícula por Cuatrimestre</t>
  </si>
  <si>
    <t>GRADO ACADÉMICO</t>
  </si>
  <si>
    <t>x</t>
  </si>
  <si>
    <t>Información Presentada</t>
  </si>
  <si>
    <t>Fuente de Información</t>
  </si>
  <si>
    <t xml:space="preserve">Gastos Operacionales </t>
  </si>
  <si>
    <t xml:space="preserve">Documento certificado por un Contador Público Autorizado </t>
  </si>
  <si>
    <t>Gastos Operacionales</t>
  </si>
  <si>
    <t xml:space="preserve"> Expresado en colones costarricenses</t>
  </si>
  <si>
    <t>Ingresos</t>
  </si>
  <si>
    <t>Total</t>
  </si>
  <si>
    <t>Total Gastos de Operacionales</t>
  </si>
  <si>
    <t>Utilidad antes de Impuestos</t>
  </si>
  <si>
    <t>Tasa de Impuesto sobre Renta</t>
  </si>
  <si>
    <t>Impuesto sobre la Renta</t>
  </si>
  <si>
    <t>Utilidad Neta</t>
  </si>
  <si>
    <t>R</t>
  </si>
  <si>
    <t>Gastos Financieros</t>
  </si>
  <si>
    <t>Promedio</t>
  </si>
  <si>
    <t>Referencia</t>
  </si>
  <si>
    <t>Cantidad de Estudiantes</t>
  </si>
  <si>
    <t>Qn</t>
  </si>
  <si>
    <t>GOA</t>
  </si>
  <si>
    <t>Proporcionalidad Matrícula y Colegiatura</t>
  </si>
  <si>
    <t>Nueva Tarifa</t>
  </si>
  <si>
    <t>Cantidad de estudiantes</t>
  </si>
  <si>
    <t>TM</t>
  </si>
  <si>
    <t>Proporcionalidad</t>
  </si>
  <si>
    <t>Por Estudiante</t>
  </si>
  <si>
    <t xml:space="preserve">Supuestos de Proyección de Estudiantes </t>
  </si>
  <si>
    <t>Descripción</t>
  </si>
  <si>
    <t>Deuda Financiera</t>
  </si>
  <si>
    <t>PRESTAMOS POR PAGAR A LARGO PLAZO</t>
  </si>
  <si>
    <t>Patrimonio</t>
  </si>
  <si>
    <t>Capital Contable</t>
  </si>
  <si>
    <t xml:space="preserve">Aporte de Capital </t>
  </si>
  <si>
    <t>Reserva Legal</t>
  </si>
  <si>
    <t>Utilidades Retenidas</t>
  </si>
  <si>
    <t>Resultados del Periodo</t>
  </si>
  <si>
    <t>Fecha Formalización</t>
  </si>
  <si>
    <t>Intereses sobre Préstamos</t>
  </si>
  <si>
    <t>Tasa de Intereses promedio anual (Intereses sobre préstamos / préstamos por pagar)</t>
  </si>
  <si>
    <t>D/E Ratio</t>
  </si>
  <si>
    <t>Wi</t>
  </si>
  <si>
    <t>Ki</t>
  </si>
  <si>
    <t>Ws</t>
  </si>
  <si>
    <t>Ks</t>
  </si>
  <si>
    <t>Cálculo de Rentabilidad</t>
  </si>
  <si>
    <t>Documento certificado por un Contador Público Autorizado</t>
  </si>
  <si>
    <t>Costo de la deuda antes de impuestos</t>
  </si>
  <si>
    <t>DF</t>
  </si>
  <si>
    <t>Pat</t>
  </si>
  <si>
    <t>Dato</t>
  </si>
  <si>
    <t xml:space="preserve">Indicadores suministrados por el CONESUP </t>
  </si>
  <si>
    <t>Riesgo País CR</t>
  </si>
  <si>
    <t>Prima Inversión en Acciones</t>
  </si>
  <si>
    <t>Castigo (Premio) Riesgo Industria</t>
  </si>
  <si>
    <t>Costo de capital en US$, antes de ajustes</t>
  </si>
  <si>
    <t>Ajustes para mercados emergentes:</t>
  </si>
  <si>
    <t>Costo de capital en US$ para inversión en compañía objetivo en Costa Rica</t>
  </si>
  <si>
    <t>Devaluación promedio Colón vrs US$</t>
  </si>
  <si>
    <t>Reserva en Valuación de Inversiones</t>
  </si>
  <si>
    <t>Detalle</t>
  </si>
  <si>
    <t>Retorno Anual S&amp;P 500 1928-2019 - Promedio Aritmético</t>
  </si>
  <si>
    <t>A</t>
  </si>
  <si>
    <t>Rendimiento Bonos de Deuda Soberana CR - bde45</t>
  </si>
  <si>
    <t>B</t>
  </si>
  <si>
    <t>Rendimiento Bonos del Tesoro EUA - 30 años</t>
  </si>
  <si>
    <t>C</t>
  </si>
  <si>
    <t>D</t>
  </si>
  <si>
    <t>D= B-C</t>
  </si>
  <si>
    <t>E</t>
  </si>
  <si>
    <t>E=A-C</t>
  </si>
  <si>
    <t>F</t>
  </si>
  <si>
    <t>F = (E*O)-E</t>
  </si>
  <si>
    <t>G</t>
  </si>
  <si>
    <t>G = C+D+E+F</t>
  </si>
  <si>
    <t>Diferencial por inflación Costa Rica vrs EUA - Ajuste al riesgo Soberano</t>
  </si>
  <si>
    <t>H</t>
  </si>
  <si>
    <t>H = ((((1+G)*U))-1)-G</t>
  </si>
  <si>
    <t>I</t>
  </si>
  <si>
    <t>I = G+H</t>
  </si>
  <si>
    <t>J</t>
  </si>
  <si>
    <t>Se toma de los indicadores</t>
  </si>
  <si>
    <t>Costo de capital nominal en Colones para inversión en compañía objetivo en Costa  Rica</t>
  </si>
  <si>
    <t>K</t>
  </si>
  <si>
    <t>K = ((1+I)*(1+J))-1</t>
  </si>
  <si>
    <t>Beta apalancado</t>
  </si>
  <si>
    <t>Beta Desapal.</t>
  </si>
  <si>
    <t>L</t>
  </si>
  <si>
    <t>M</t>
  </si>
  <si>
    <t>Tax rate</t>
  </si>
  <si>
    <t>N</t>
  </si>
  <si>
    <t>Beta Apal.</t>
  </si>
  <si>
    <t>O</t>
  </si>
  <si>
    <t>O = L*((1+(1-N)*M))</t>
  </si>
  <si>
    <t>Razón D/E</t>
  </si>
  <si>
    <t>P</t>
  </si>
  <si>
    <t>Q</t>
  </si>
  <si>
    <t>R = P/Q</t>
  </si>
  <si>
    <t>Multiplicador de Variación (MV)</t>
  </si>
  <si>
    <t>(inflación CR y USA)</t>
  </si>
  <si>
    <t>𝜋𝐶R</t>
  </si>
  <si>
    <t>S</t>
  </si>
  <si>
    <t>𝜋USA</t>
  </si>
  <si>
    <t>T</t>
  </si>
  <si>
    <t>MV</t>
  </si>
  <si>
    <t>U</t>
  </si>
  <si>
    <t>U =(1+S)/(1+T)</t>
  </si>
  <si>
    <t>WACC</t>
  </si>
  <si>
    <t>Fuente de financiamiento</t>
  </si>
  <si>
    <t>Saldo</t>
  </si>
  <si>
    <t>Peso</t>
  </si>
  <si>
    <t>Costo</t>
  </si>
  <si>
    <t>Deuda financiera</t>
  </si>
  <si>
    <t>Gasto Total</t>
  </si>
  <si>
    <t xml:space="preserve">Grado </t>
  </si>
  <si>
    <t xml:space="preserve">Superavit por Revaluación de Activos </t>
  </si>
  <si>
    <t>Xi</t>
  </si>
  <si>
    <t>Xs</t>
  </si>
  <si>
    <t>Universidad XXX</t>
  </si>
  <si>
    <r>
      <rPr>
        <b/>
        <sz val="12"/>
        <color theme="1"/>
        <rFont val="Times New Roman"/>
        <family val="1"/>
      </rPr>
      <t>Fuente:</t>
    </r>
    <r>
      <rPr>
        <sz val="12"/>
        <color theme="1"/>
        <rFont val="Times New Roman"/>
        <family val="1"/>
      </rPr>
      <t xml:space="preserve"> Cálculo del Departamento Financiero de la Universidad XXX.</t>
    </r>
  </si>
  <si>
    <t>Documentos Probatorios Universidad XXX</t>
  </si>
  <si>
    <t>Nueva Carrera - Bachillerato en XXX</t>
  </si>
  <si>
    <r>
      <rPr>
        <b/>
        <sz val="11"/>
        <color theme="1"/>
        <rFont val="Times New Roman"/>
        <family val="1"/>
      </rPr>
      <t>Fuente:</t>
    </r>
    <r>
      <rPr>
        <sz val="11"/>
        <color theme="1"/>
        <rFont val="Times New Roman"/>
        <family val="1"/>
      </rPr>
      <t xml:space="preserve"> Cálculo del departamento financiero de la Universidad XXX. </t>
    </r>
  </si>
  <si>
    <t xml:space="preserve">Proyección de Cantidad Promedio de Estudiantes </t>
  </si>
  <si>
    <r>
      <rPr>
        <b/>
        <sz val="12"/>
        <color theme="1"/>
        <rFont val="Times New Roman"/>
        <family val="1"/>
      </rPr>
      <t>Fuente:</t>
    </r>
    <r>
      <rPr>
        <sz val="12"/>
        <color theme="1"/>
        <rFont val="Times New Roman"/>
        <family val="1"/>
      </rPr>
      <t xml:space="preserve"> Cálculo del departamento financiero de la Universidad XXX.</t>
    </r>
  </si>
  <si>
    <t>Del 01 de Octubre 2021 al 30 de Setiembre 2022</t>
  </si>
  <si>
    <r>
      <rPr>
        <b/>
        <sz val="12"/>
        <color theme="1"/>
        <rFont val="Times New Roman"/>
        <family val="1"/>
      </rPr>
      <t>Fuente:</t>
    </r>
    <r>
      <rPr>
        <sz val="12"/>
        <color theme="1"/>
        <rFont val="Times New Roman"/>
        <family val="1"/>
      </rPr>
      <t xml:space="preserve"> Cálculo del departamento financiero de la Universidad XXX..</t>
    </r>
  </si>
  <si>
    <t>Costo de Deuda antes de Impuesto</t>
  </si>
  <si>
    <t>Cálculo de Modelo de Valoración de Activos de Capital (Capital Asset Pricing Model, CAPM)</t>
  </si>
  <si>
    <t>Razón D/E = Razón de deuda a patrimonio</t>
  </si>
  <si>
    <t>Datos Universidad, Patrimonio Neto</t>
  </si>
  <si>
    <t>Costo Promedio Ponderado del Capital (Weigh Average Cost of Capital, WACC)</t>
  </si>
  <si>
    <t>IPC de la Educación Universitaria</t>
  </si>
  <si>
    <t>Proporción del pasivo</t>
  </si>
  <si>
    <t>Costo ponderado de la deuda financiera, en Colones (antes de impuesto )=Kd</t>
  </si>
  <si>
    <t>Costo de la deuda financiera desp. Imps</t>
  </si>
  <si>
    <t>Proporción del patrimonio</t>
  </si>
  <si>
    <t>Costo de capital propio obtenido del CAPM</t>
  </si>
  <si>
    <t>Kd</t>
  </si>
  <si>
    <t>CAPM</t>
  </si>
  <si>
    <t xml:space="preserve">Modelo de valoración de activos de capital </t>
  </si>
  <si>
    <t xml:space="preserve">Costo Promedio Ponderado del Capital </t>
  </si>
  <si>
    <t>Deuda Financiera a Largo Plazo</t>
  </si>
  <si>
    <t>t</t>
  </si>
  <si>
    <t>Leasing a Largo Plazo-A</t>
  </si>
  <si>
    <t>Prestamo-B</t>
  </si>
  <si>
    <t>Prestamo-A</t>
  </si>
  <si>
    <t>Documentos Probatorios 2022</t>
  </si>
  <si>
    <t>Datos Universidad, Pasivo Total</t>
  </si>
  <si>
    <t>Pasivo Total</t>
  </si>
  <si>
    <t>Pt</t>
  </si>
  <si>
    <r>
      <t>Deuda (</t>
    </r>
    <r>
      <rPr>
        <sz val="11"/>
        <color rgb="FFFF0000"/>
        <rFont val="Century"/>
        <family val="1"/>
      </rPr>
      <t>Pasivo Total)</t>
    </r>
  </si>
  <si>
    <t>Datos Universidad= Pasivo Total /Patrimonio Neto (Resultado de R)</t>
  </si>
  <si>
    <t>UNIVERSIDAD XXX</t>
  </si>
  <si>
    <t>Cuentas por pagar Proveedores</t>
  </si>
  <si>
    <t xml:space="preserve">Cuenta por pagar Notas de Crédito </t>
  </si>
  <si>
    <t>Porción Circulante Financiamiento Bancario</t>
  </si>
  <si>
    <t>Retenciones por pagar</t>
  </si>
  <si>
    <t>Gastos acumulados por pagar</t>
  </si>
  <si>
    <t>IVA por pagar</t>
  </si>
  <si>
    <t xml:space="preserve">Provisiones Por Pagar </t>
  </si>
  <si>
    <t xml:space="preserve">Leasing x Pagar CP </t>
  </si>
  <si>
    <t xml:space="preserve">Financiamiento Bancario CP </t>
  </si>
  <si>
    <t>Ingreso Diferido (matrículas-colegiaturas)</t>
  </si>
  <si>
    <t xml:space="preserve">Leasing x pagar LP </t>
  </si>
  <si>
    <t>Financiamiento relacionadas</t>
  </si>
  <si>
    <t>Imp Renta Diferido y por pagar</t>
  </si>
  <si>
    <t xml:space="preserve">Financiamiento Bancario LP </t>
  </si>
  <si>
    <t>PASIVO CORRIENTE</t>
  </si>
  <si>
    <t>TOTAL PASIVO CORRIENTE</t>
  </si>
  <si>
    <t>PASIVO NO CORRIENTES</t>
  </si>
  <si>
    <t>TOTAL PASIVO NO CORRIENTE</t>
  </si>
  <si>
    <t>TOTAL PASIVO</t>
  </si>
  <si>
    <t>TCU</t>
  </si>
  <si>
    <t>Periodicidad  cobro de TCU</t>
  </si>
  <si>
    <t>Costos administativos para el TCU</t>
  </si>
  <si>
    <t>Cantidad Promedio de Estudiantes que matriculan TCU</t>
  </si>
  <si>
    <t>IC 2022</t>
  </si>
  <si>
    <t>IIC 2022</t>
  </si>
  <si>
    <t>IIIC 2022</t>
  </si>
  <si>
    <t>Total 2022</t>
  </si>
  <si>
    <t>Periodicidad en un año del cobro de TCU</t>
  </si>
  <si>
    <t>Cálculo de Rentabilidad TCU</t>
  </si>
  <si>
    <t>Periodicidad TCU</t>
  </si>
  <si>
    <t>Solicitud de costos asociados al TCU</t>
  </si>
  <si>
    <t>((Gastos administrativos asociados por TCU)(1-Tasa impuesto sobre la Renta)) (1+ Tasa de Rentabilidad Mínima Establecida para la Inversión)</t>
  </si>
  <si>
    <t>(Cantidad promedio estudiantes que matricularon el TCU en un año * Periodicidad en un año del cobro de TCU)(1-Tasa impuesto sobre la Renta) - (Tasa de Rentabilidad Mínima Establecida para la Inversión * Tasa Impuesto sobre la Renta)</t>
  </si>
  <si>
    <t>Solicitud de autorizacion TCU</t>
  </si>
  <si>
    <t>Fechas de corte utilizado</t>
  </si>
  <si>
    <t>FC</t>
  </si>
  <si>
    <t>Documento certificado por la Universidad</t>
  </si>
  <si>
    <t>Resumen Cálculos de Solicitud de Autorizacion del Costo AdministrativoTCU</t>
  </si>
  <si>
    <t>Costo Administrativo Asociado TCU:</t>
  </si>
  <si>
    <t>Costo Administrativo AsociadoTCU: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</si>
</sst>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4" formatCode="_-&quot;₡&quot;* #,##0.00_-;\-&quot;₡&quot;* #,##0.00_-;_-&quot;₡&quot;* &quot;-&quot;??_-;_-@_-"/>
    <numFmt numFmtId="43" formatCode="_-* #,##0.00_-;\-* #,##0.00_-;_-* &quot;-&quot;??_-;_-@_-"/>
    <numFmt numFmtId="164" formatCode="_(* #,##0.00_);_(* \(#,##0.00\);_(* &quot;-&quot;??_);_(@_)"/>
    <numFmt numFmtId="165" formatCode="_-&quot;$&quot;* #,##0.00_-;\-&quot;$&quot;* #,##0.00_-;_-&quot;$&quot;* &quot;-&quot;??_-;_-@_-"/>
    <numFmt numFmtId="166" formatCode="_-[$₡-140A]* #,##0.00_-;\-[$₡-140A]* #,##0.00_-;_-[$₡-140A]* &quot;-&quot;??_-;_-@_-"/>
    <numFmt numFmtId="167" formatCode="_(* #,##0.000_);_(* \(#,##0.000\);_(* &quot;-&quot;??_);_(@_)"/>
    <numFmt numFmtId="168" formatCode="_(* #,##0_);_(* \(#,##0\);_(* &quot;-&quot;??_);_(@_)"/>
    <numFmt numFmtId="169" formatCode="0.000%"/>
    <numFmt numFmtId="170" formatCode="_(* #,##0.0000_);_(* \(#,##0.0000\);_(* &quot;-&quot;??_);_(@_)"/>
    <numFmt numFmtId="171" formatCode="0.0%"/>
    <numFmt numFmtId="172" formatCode="_-* #,##0.00\ &quot;€&quot;_-;\-* #,##0.00\ &quot;€&quot;_-;_-* &quot;-&quot;??\ &quot;€&quot;_-;_-@_-"/>
    <numFmt numFmtId="173" formatCode="_-* #,##0.00\ _€_-;\-* #,##0.00\ _€_-;_-* &quot;-&quot;??\ _€_-;_-@_-"/>
    <numFmt numFmtId="174" formatCode="&quot;₡&quot;#,##0.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7"/>
      <name val="Times New Roman"/>
      <family val="1"/>
    </font>
    <font>
      <b/>
      <sz val="18"/>
      <color theme="1"/>
      <name val="Times New Roman"/>
      <family val="1"/>
    </font>
    <font>
      <b/>
      <sz val="14"/>
      <color theme="7"/>
      <name val="Times New Roman"/>
      <family val="1"/>
    </font>
    <font>
      <sz val="14"/>
      <color theme="1"/>
      <name val="Times New Roman"/>
      <family val="1"/>
    </font>
    <font>
      <b/>
      <sz val="11"/>
      <color theme="7"/>
      <name val="Times New Roman"/>
      <family val="1"/>
    </font>
    <font>
      <sz val="12"/>
      <color rgb="FF000000"/>
      <name val="Times New Roman"/>
      <family val="1"/>
    </font>
    <font>
      <sz val="10"/>
      <color theme="1"/>
      <name val="Times New Roman"/>
      <family val="1"/>
    </font>
    <font>
      <sz val="8"/>
      <color theme="1"/>
      <name val="Times New Roman"/>
      <family val="1"/>
    </font>
    <font>
      <b/>
      <sz val="10"/>
      <color rgb="FFFFC000"/>
      <name val="Times New Roman"/>
      <family val="1"/>
    </font>
    <font>
      <b/>
      <sz val="10"/>
      <color theme="1"/>
      <name val="Times New Roman"/>
      <family val="1"/>
    </font>
    <font>
      <b/>
      <sz val="20"/>
      <color theme="1"/>
      <name val="Times New Roman"/>
      <family val="1"/>
    </font>
    <font>
      <b/>
      <sz val="10"/>
      <color theme="7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u/>
      <sz val="12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entury"/>
      <family val="1"/>
    </font>
    <font>
      <sz val="10"/>
      <color theme="1"/>
      <name val="Century"/>
      <family val="1"/>
    </font>
    <font>
      <b/>
      <sz val="18"/>
      <color theme="1"/>
      <name val="Century"/>
      <family val="1"/>
    </font>
    <font>
      <b/>
      <sz val="11"/>
      <color rgb="FFFFFFFF"/>
      <name val="Century"/>
      <family val="1"/>
    </font>
    <font>
      <b/>
      <sz val="11"/>
      <color theme="1"/>
      <name val="Century"/>
      <family val="1"/>
    </font>
    <font>
      <sz val="11"/>
      <color rgb="FF000000"/>
      <name val="Century"/>
      <family val="1"/>
    </font>
    <font>
      <sz val="11"/>
      <color rgb="FF404040"/>
      <name val="Century"/>
      <family val="1"/>
    </font>
    <font>
      <b/>
      <sz val="14"/>
      <color theme="1"/>
      <name val="Century"/>
      <family val="1"/>
    </font>
    <font>
      <b/>
      <u/>
      <sz val="11"/>
      <color theme="1"/>
      <name val="Century"/>
      <family val="1"/>
    </font>
    <font>
      <sz val="11"/>
      <color rgb="FFFF0000"/>
      <name val="Century"/>
      <family val="1"/>
    </font>
    <font>
      <b/>
      <sz val="11"/>
      <color rgb="FF000000"/>
      <name val="Century"/>
      <family val="1"/>
    </font>
    <font>
      <b/>
      <sz val="14"/>
      <color rgb="FF000000"/>
      <name val="Century"/>
      <family val="1"/>
    </font>
    <font>
      <b/>
      <sz val="10"/>
      <color rgb="FF000000"/>
      <name val="Century"/>
      <family val="1"/>
    </font>
    <font>
      <b/>
      <sz val="16"/>
      <color rgb="FF000000"/>
      <name val="Century"/>
      <family val="1"/>
    </font>
    <font>
      <b/>
      <u/>
      <sz val="10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0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2" fillId="0" borderId="0">
      <alignment vertical="top"/>
    </xf>
    <xf numFmtId="43" fontId="22" fillId="0" borderId="0" applyFont="0" applyFill="0" applyBorder="0" applyAlignment="0" applyProtection="0">
      <alignment vertical="top"/>
    </xf>
    <xf numFmtId="165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2" fillId="0" borderId="0">
      <alignment vertical="top"/>
    </xf>
    <xf numFmtId="43" fontId="22" fillId="0" borderId="0" applyFont="0" applyFill="0" applyBorder="0" applyAlignment="0" applyProtection="0">
      <alignment vertical="top"/>
    </xf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2" fillId="0" borderId="0">
      <alignment vertical="top"/>
    </xf>
    <xf numFmtId="43" fontId="22" fillId="0" borderId="0" applyFont="0" applyFill="0" applyBorder="0" applyAlignment="0" applyProtection="0">
      <alignment vertical="top"/>
    </xf>
    <xf numFmtId="0" fontId="1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0" fontId="22" fillId="0" borderId="0">
      <alignment vertical="top"/>
    </xf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0" fontId="22" fillId="0" borderId="0">
      <alignment vertical="top"/>
    </xf>
    <xf numFmtId="43" fontId="22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37">
    <xf numFmtId="0" fontId="0" fillId="0" borderId="0" xfId="0"/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vertical="center"/>
    </xf>
    <xf numFmtId="164" fontId="3" fillId="0" borderId="0" xfId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3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4" fontId="3" fillId="0" borderId="0" xfId="0" applyNumberFormat="1" applyFont="1"/>
    <xf numFmtId="0" fontId="12" fillId="0" borderId="8" xfId="0" applyFont="1" applyBorder="1" applyAlignment="1">
      <alignment vertical="center" wrapText="1"/>
    </xf>
    <xf numFmtId="164" fontId="13" fillId="0" borderId="0" xfId="1" applyFont="1" applyAlignment="1">
      <alignment horizontal="center"/>
    </xf>
    <xf numFmtId="0" fontId="13" fillId="0" borderId="0" xfId="0" applyFont="1"/>
    <xf numFmtId="164" fontId="13" fillId="0" borderId="0" xfId="1" applyFont="1"/>
    <xf numFmtId="0" fontId="13" fillId="0" borderId="0" xfId="0" applyFont="1" applyAlignment="1">
      <alignment horizontal="center"/>
    </xf>
    <xf numFmtId="0" fontId="16" fillId="0" borderId="0" xfId="0" applyFont="1"/>
    <xf numFmtId="10" fontId="5" fillId="0" borderId="6" xfId="2" applyNumberFormat="1" applyFont="1" applyBorder="1"/>
    <xf numFmtId="0" fontId="3" fillId="0" borderId="0" xfId="0" applyFont="1" applyAlignment="1">
      <alignment horizontal="center"/>
    </xf>
    <xf numFmtId="164" fontId="3" fillId="0" borderId="0" xfId="1" applyFont="1" applyBorder="1" applyAlignment="1">
      <alignment horizontal="center" vertical="center"/>
    </xf>
    <xf numFmtId="164" fontId="3" fillId="0" borderId="0" xfId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3" fillId="0" borderId="0" xfId="1" applyFont="1" applyBorder="1" applyAlignment="1">
      <alignment vertical="center" wrapText="1"/>
    </xf>
    <xf numFmtId="43" fontId="13" fillId="0" borderId="0" xfId="0" applyNumberFormat="1" applyFont="1"/>
    <xf numFmtId="0" fontId="12" fillId="0" borderId="8" xfId="0" applyFont="1" applyBorder="1" applyAlignment="1">
      <alignment vertical="center"/>
    </xf>
    <xf numFmtId="0" fontId="7" fillId="2" borderId="8" xfId="0" applyFont="1" applyFill="1" applyBorder="1" applyAlignment="1">
      <alignment horizontal="center" vertical="center" wrapText="1"/>
    </xf>
    <xf numFmtId="164" fontId="7" fillId="2" borderId="8" xfId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4" fontId="6" fillId="0" borderId="0" xfId="1" applyFont="1" applyAlignment="1">
      <alignment vertical="center"/>
    </xf>
    <xf numFmtId="9" fontId="6" fillId="0" borderId="0" xfId="2" applyFont="1" applyAlignment="1">
      <alignment vertical="center"/>
    </xf>
    <xf numFmtId="0" fontId="6" fillId="0" borderId="8" xfId="0" applyFont="1" applyBorder="1" applyAlignment="1">
      <alignment vertical="center"/>
    </xf>
    <xf numFmtId="166" fontId="6" fillId="0" borderId="8" xfId="1" applyNumberFormat="1" applyFont="1" applyBorder="1" applyAlignment="1">
      <alignment vertical="center"/>
    </xf>
    <xf numFmtId="43" fontId="6" fillId="0" borderId="0" xfId="0" applyNumberFormat="1" applyFont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166" fontId="6" fillId="0" borderId="18" xfId="1" applyNumberFormat="1" applyFont="1" applyBorder="1" applyAlignment="1">
      <alignment vertical="center"/>
    </xf>
    <xf numFmtId="0" fontId="3" fillId="0" borderId="23" xfId="0" applyFont="1" applyBorder="1"/>
    <xf numFmtId="0" fontId="3" fillId="0" borderId="24" xfId="0" applyFont="1" applyBorder="1"/>
    <xf numFmtId="0" fontId="4" fillId="0" borderId="2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24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0" fontId="10" fillId="0" borderId="0" xfId="2" applyNumberFormat="1" applyFont="1" applyBorder="1"/>
    <xf numFmtId="0" fontId="10" fillId="0" borderId="24" xfId="0" applyFont="1" applyBorder="1" applyAlignment="1">
      <alignment vertical="center"/>
    </xf>
    <xf numFmtId="0" fontId="3" fillId="0" borderId="25" xfId="0" applyFont="1" applyBorder="1"/>
    <xf numFmtId="0" fontId="3" fillId="0" borderId="16" xfId="0" applyFont="1" applyBorder="1"/>
    <xf numFmtId="0" fontId="3" fillId="0" borderId="26" xfId="0" applyFont="1" applyBorder="1"/>
    <xf numFmtId="0" fontId="16" fillId="0" borderId="23" xfId="0" applyFont="1" applyBorder="1"/>
    <xf numFmtId="164" fontId="16" fillId="0" borderId="0" xfId="1" applyFont="1" applyBorder="1" applyAlignment="1">
      <alignment horizontal="center"/>
    </xf>
    <xf numFmtId="9" fontId="16" fillId="0" borderId="0" xfId="2" applyFont="1" applyBorder="1" applyAlignment="1">
      <alignment horizontal="center"/>
    </xf>
    <xf numFmtId="0" fontId="13" fillId="0" borderId="23" xfId="0" applyFont="1" applyBorder="1"/>
    <xf numFmtId="164" fontId="13" fillId="0" borderId="0" xfId="1" applyFont="1" applyBorder="1" applyAlignment="1">
      <alignment horizontal="center"/>
    </xf>
    <xf numFmtId="164" fontId="13" fillId="0" borderId="24" xfId="1" applyFont="1" applyBorder="1"/>
    <xf numFmtId="166" fontId="13" fillId="0" borderId="0" xfId="1" applyNumberFormat="1" applyFont="1" applyFill="1" applyBorder="1"/>
    <xf numFmtId="164" fontId="13" fillId="0" borderId="0" xfId="1" applyFont="1" applyBorder="1"/>
    <xf numFmtId="0" fontId="15" fillId="2" borderId="23" xfId="0" applyFont="1" applyFill="1" applyBorder="1" applyAlignment="1">
      <alignment horizontal="left"/>
    </xf>
    <xf numFmtId="0" fontId="16" fillId="3" borderId="23" xfId="0" applyFont="1" applyFill="1" applyBorder="1"/>
    <xf numFmtId="164" fontId="5" fillId="0" borderId="0" xfId="1" applyFont="1" applyBorder="1" applyAlignment="1">
      <alignment horizontal="center"/>
    </xf>
    <xf numFmtId="0" fontId="13" fillId="0" borderId="25" xfId="0" applyFont="1" applyBorder="1"/>
    <xf numFmtId="164" fontId="13" fillId="0" borderId="16" xfId="1" applyFont="1" applyBorder="1" applyAlignment="1">
      <alignment horizontal="center"/>
    </xf>
    <xf numFmtId="0" fontId="13" fillId="0" borderId="16" xfId="0" applyFont="1" applyBorder="1"/>
    <xf numFmtId="0" fontId="18" fillId="2" borderId="20" xfId="0" applyFont="1" applyFill="1" applyBorder="1"/>
    <xf numFmtId="0" fontId="18" fillId="2" borderId="21" xfId="0" applyFont="1" applyFill="1" applyBorder="1"/>
    <xf numFmtId="0" fontId="11" fillId="2" borderId="22" xfId="0" applyFont="1" applyFill="1" applyBorder="1" applyAlignment="1">
      <alignment horizontal="center"/>
    </xf>
    <xf numFmtId="1" fontId="3" fillId="0" borderId="26" xfId="0" applyNumberFormat="1" applyFont="1" applyBorder="1" applyAlignment="1">
      <alignment horizontal="center"/>
    </xf>
    <xf numFmtId="0" fontId="4" fillId="0" borderId="14" xfId="0" applyFont="1" applyBorder="1"/>
    <xf numFmtId="1" fontId="4" fillId="0" borderId="12" xfId="0" applyNumberFormat="1" applyFont="1" applyBorder="1" applyAlignment="1">
      <alignment horizontal="center"/>
    </xf>
    <xf numFmtId="1" fontId="4" fillId="0" borderId="28" xfId="0" applyNumberFormat="1" applyFont="1" applyBorder="1" applyAlignment="1">
      <alignment horizontal="center"/>
    </xf>
    <xf numFmtId="0" fontId="11" fillId="2" borderId="12" xfId="0" applyFont="1" applyFill="1" applyBorder="1"/>
    <xf numFmtId="0" fontId="11" fillId="2" borderId="28" xfId="0" applyFont="1" applyFill="1" applyBorder="1" applyAlignment="1">
      <alignment horizontal="center"/>
    </xf>
    <xf numFmtId="0" fontId="6" fillId="0" borderId="16" xfId="0" applyFont="1" applyBorder="1"/>
    <xf numFmtId="167" fontId="6" fillId="0" borderId="16" xfId="1" applyNumberFormat="1" applyFont="1" applyBorder="1"/>
    <xf numFmtId="164" fontId="6" fillId="0" borderId="16" xfId="1" applyFont="1" applyBorder="1"/>
    <xf numFmtId="164" fontId="6" fillId="0" borderId="26" xfId="1" applyFont="1" applyBorder="1"/>
    <xf numFmtId="0" fontId="18" fillId="2" borderId="20" xfId="0" applyFont="1" applyFill="1" applyBorder="1" applyAlignment="1">
      <alignment horizontal="center"/>
    </xf>
    <xf numFmtId="0" fontId="18" fillId="2" borderId="21" xfId="0" applyFont="1" applyFill="1" applyBorder="1" applyAlignment="1">
      <alignment horizontal="center"/>
    </xf>
    <xf numFmtId="0" fontId="18" fillId="2" borderId="22" xfId="0" applyFont="1" applyFill="1" applyBorder="1" applyAlignment="1">
      <alignment horizontal="center"/>
    </xf>
    <xf numFmtId="0" fontId="13" fillId="4" borderId="23" xfId="0" applyFont="1" applyFill="1" applyBorder="1"/>
    <xf numFmtId="0" fontId="16" fillId="4" borderId="25" xfId="0" applyFont="1" applyFill="1" applyBorder="1"/>
    <xf numFmtId="0" fontId="16" fillId="4" borderId="16" xfId="0" applyFont="1" applyFill="1" applyBorder="1"/>
    <xf numFmtId="39" fontId="16" fillId="4" borderId="16" xfId="0" applyNumberFormat="1" applyFont="1" applyFill="1" applyBorder="1"/>
    <xf numFmtId="164" fontId="3" fillId="0" borderId="0" xfId="1" applyFont="1" applyFill="1" applyBorder="1"/>
    <xf numFmtId="168" fontId="16" fillId="0" borderId="6" xfId="0" applyNumberFormat="1" applyFont="1" applyBorder="1"/>
    <xf numFmtId="168" fontId="13" fillId="0" borderId="6" xfId="1" applyNumberFormat="1" applyFont="1" applyBorder="1"/>
    <xf numFmtId="168" fontId="16" fillId="0" borderId="13" xfId="0" applyNumberFormat="1" applyFont="1" applyBorder="1"/>
    <xf numFmtId="37" fontId="13" fillId="4" borderId="24" xfId="0" applyNumberFormat="1" applyFont="1" applyFill="1" applyBorder="1"/>
    <xf numFmtId="37" fontId="3" fillId="0" borderId="24" xfId="0" applyNumberFormat="1" applyFont="1" applyBorder="1"/>
    <xf numFmtId="37" fontId="16" fillId="4" borderId="26" xfId="0" applyNumberFormat="1" applyFont="1" applyFill="1" applyBorder="1"/>
    <xf numFmtId="1" fontId="3" fillId="0" borderId="16" xfId="0" applyNumberFormat="1" applyFont="1" applyBorder="1" applyAlignment="1">
      <alignment horizontal="center"/>
    </xf>
    <xf numFmtId="0" fontId="23" fillId="0" borderId="0" xfId="0" applyFont="1" applyAlignment="1">
      <alignment vertical="center"/>
    </xf>
    <xf numFmtId="168" fontId="21" fillId="0" borderId="24" xfId="1" applyNumberFormat="1" applyFont="1" applyFill="1" applyBorder="1" applyAlignment="1">
      <alignment vertical="top"/>
    </xf>
    <xf numFmtId="0" fontId="8" fillId="0" borderId="20" xfId="0" applyFont="1" applyBorder="1"/>
    <xf numFmtId="164" fontId="13" fillId="0" borderId="21" xfId="1" applyFont="1" applyBorder="1" applyAlignment="1">
      <alignment horizontal="center"/>
    </xf>
    <xf numFmtId="0" fontId="8" fillId="0" borderId="21" xfId="0" applyFont="1" applyBorder="1"/>
    <xf numFmtId="0" fontId="13" fillId="0" borderId="21" xfId="0" applyFont="1" applyBorder="1"/>
    <xf numFmtId="0" fontId="0" fillId="0" borderId="22" xfId="0" applyBorder="1"/>
    <xf numFmtId="0" fontId="14" fillId="0" borderId="23" xfId="0" applyFont="1" applyBorder="1"/>
    <xf numFmtId="0" fontId="14" fillId="0" borderId="0" xfId="0" applyFont="1"/>
    <xf numFmtId="164" fontId="15" fillId="2" borderId="0" xfId="1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168" fontId="16" fillId="3" borderId="0" xfId="0" applyNumberFormat="1" applyFont="1" applyFill="1"/>
    <xf numFmtId="168" fontId="13" fillId="0" borderId="0" xfId="1" applyNumberFormat="1" applyFont="1" applyBorder="1" applyAlignment="1">
      <alignment horizontal="center"/>
    </xf>
    <xf numFmtId="168" fontId="13" fillId="0" borderId="0" xfId="0" applyNumberFormat="1" applyFont="1"/>
    <xf numFmtId="168" fontId="16" fillId="0" borderId="0" xfId="1" applyNumberFormat="1" applyFont="1" applyBorder="1" applyAlignment="1">
      <alignment horizontal="center"/>
    </xf>
    <xf numFmtId="168" fontId="16" fillId="0" borderId="0" xfId="0" applyNumberFormat="1" applyFont="1"/>
    <xf numFmtId="9" fontId="13" fillId="0" borderId="0" xfId="2" applyFont="1" applyBorder="1"/>
    <xf numFmtId="164" fontId="13" fillId="0" borderId="0" xfId="0" applyNumberFormat="1" applyFont="1"/>
    <xf numFmtId="0" fontId="13" fillId="0" borderId="22" xfId="0" applyFont="1" applyBorder="1"/>
    <xf numFmtId="0" fontId="13" fillId="0" borderId="24" xfId="0" applyFont="1" applyBorder="1"/>
    <xf numFmtId="0" fontId="13" fillId="0" borderId="23" xfId="0" applyFont="1" applyBorder="1" applyAlignment="1">
      <alignment wrapText="1"/>
    </xf>
    <xf numFmtId="0" fontId="13" fillId="0" borderId="0" xfId="0" applyFont="1" applyAlignment="1">
      <alignment wrapText="1"/>
    </xf>
    <xf numFmtId="0" fontId="13" fillId="0" borderId="24" xfId="0" applyFont="1" applyBorder="1" applyAlignment="1">
      <alignment wrapText="1"/>
    </xf>
    <xf numFmtId="0" fontId="3" fillId="0" borderId="24" xfId="0" applyFont="1" applyBorder="1" applyAlignment="1">
      <alignment horizontal="center"/>
    </xf>
    <xf numFmtId="0" fontId="3" fillId="0" borderId="23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1" fontId="3" fillId="0" borderId="24" xfId="0" applyNumberFormat="1" applyFont="1" applyBorder="1" applyAlignment="1">
      <alignment horizontal="center"/>
    </xf>
    <xf numFmtId="164" fontId="13" fillId="0" borderId="21" xfId="1" applyFont="1" applyBorder="1"/>
    <xf numFmtId="0" fontId="6" fillId="0" borderId="23" xfId="0" applyFont="1" applyBorder="1"/>
    <xf numFmtId="0" fontId="6" fillId="0" borderId="24" xfId="0" applyFont="1" applyBorder="1"/>
    <xf numFmtId="0" fontId="17" fillId="0" borderId="20" xfId="0" applyFont="1" applyBorder="1"/>
    <xf numFmtId="0" fontId="13" fillId="4" borderId="0" xfId="0" applyFont="1" applyFill="1"/>
    <xf numFmtId="39" fontId="13" fillId="4" borderId="0" xfId="0" applyNumberFormat="1" applyFont="1" applyFill="1"/>
    <xf numFmtId="0" fontId="18" fillId="2" borderId="23" xfId="0" applyFont="1" applyFill="1" applyBorder="1" applyAlignment="1">
      <alignment horizontal="left"/>
    </xf>
    <xf numFmtId="0" fontId="18" fillId="2" borderId="0" xfId="0" applyFont="1" applyFill="1" applyAlignment="1">
      <alignment horizontal="center"/>
    </xf>
    <xf numFmtId="0" fontId="18" fillId="2" borderId="24" xfId="0" applyFont="1" applyFill="1" applyBorder="1" applyAlignment="1">
      <alignment horizontal="center"/>
    </xf>
    <xf numFmtId="37" fontId="3" fillId="0" borderId="24" xfId="1" applyNumberFormat="1" applyFont="1" applyFill="1" applyBorder="1"/>
    <xf numFmtId="0" fontId="4" fillId="0" borderId="23" xfId="0" applyFont="1" applyBorder="1"/>
    <xf numFmtId="0" fontId="4" fillId="0" borderId="0" xfId="0" applyFont="1"/>
    <xf numFmtId="37" fontId="4" fillId="0" borderId="24" xfId="0" applyNumberFormat="1" applyFont="1" applyBorder="1"/>
    <xf numFmtId="39" fontId="3" fillId="0" borderId="24" xfId="0" applyNumberFormat="1" applyFont="1" applyBorder="1"/>
    <xf numFmtId="0" fontId="3" fillId="0" borderId="21" xfId="0" applyFont="1" applyBorder="1"/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/>
    <xf numFmtId="0" fontId="8" fillId="0" borderId="0" xfId="0" applyFont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9" fontId="3" fillId="0" borderId="0" xfId="0" applyNumberFormat="1" applyFont="1" applyAlignment="1">
      <alignment vertical="center" wrapText="1"/>
    </xf>
    <xf numFmtId="0" fontId="10" fillId="0" borderId="0" xfId="0" applyFont="1"/>
    <xf numFmtId="0" fontId="26" fillId="0" borderId="0" xfId="0" applyFont="1"/>
    <xf numFmtId="169" fontId="26" fillId="0" borderId="0" xfId="2" applyNumberFormat="1" applyFont="1"/>
    <xf numFmtId="0" fontId="27" fillId="0" borderId="0" xfId="0" applyFont="1"/>
    <xf numFmtId="164" fontId="27" fillId="0" borderId="0" xfId="1" applyFont="1" applyAlignment="1">
      <alignment horizontal="center"/>
    </xf>
    <xf numFmtId="0" fontId="28" fillId="0" borderId="0" xfId="0" applyFont="1"/>
    <xf numFmtId="0" fontId="28" fillId="0" borderId="0" xfId="0" applyFont="1" applyAlignment="1">
      <alignment horizontal="center"/>
    </xf>
    <xf numFmtId="164" fontId="27" fillId="0" borderId="0" xfId="1" applyFont="1"/>
    <xf numFmtId="169" fontId="27" fillId="0" borderId="0" xfId="2" applyNumberFormat="1" applyFont="1"/>
    <xf numFmtId="0" fontId="30" fillId="8" borderId="3" xfId="2" applyNumberFormat="1" applyFont="1" applyFill="1" applyBorder="1" applyAlignment="1">
      <alignment horizontal="center" vertical="center"/>
    </xf>
    <xf numFmtId="0" fontId="27" fillId="0" borderId="3" xfId="0" applyFont="1" applyBorder="1"/>
    <xf numFmtId="0" fontId="31" fillId="0" borderId="3" xfId="0" applyFont="1" applyBorder="1" applyAlignment="1">
      <alignment vertical="center"/>
    </xf>
    <xf numFmtId="0" fontId="27" fillId="0" borderId="4" xfId="0" applyFont="1" applyBorder="1"/>
    <xf numFmtId="0" fontId="26" fillId="0" borderId="15" xfId="0" applyFont="1" applyBorder="1" applyAlignment="1">
      <alignment vertical="center"/>
    </xf>
    <xf numFmtId="0" fontId="26" fillId="0" borderId="0" xfId="0" applyFont="1" applyAlignment="1">
      <alignment vertical="center"/>
    </xf>
    <xf numFmtId="169" fontId="26" fillId="9" borderId="0" xfId="2" applyNumberFormat="1" applyFon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27" fillId="0" borderId="19" xfId="0" applyFont="1" applyBorder="1"/>
    <xf numFmtId="0" fontId="32" fillId="0" borderId="0" xfId="0" applyFont="1" applyAlignment="1">
      <alignment vertical="center"/>
    </xf>
    <xf numFmtId="0" fontId="26" fillId="0" borderId="19" xfId="0" applyFont="1" applyBorder="1"/>
    <xf numFmtId="169" fontId="26" fillId="0" borderId="0" xfId="2" applyNumberFormat="1" applyFont="1" applyFill="1" applyBorder="1" applyAlignment="1">
      <alignment horizontal="right" vertical="center"/>
    </xf>
    <xf numFmtId="10" fontId="26" fillId="0" borderId="0" xfId="2" applyNumberFormat="1" applyFont="1" applyFill="1" applyBorder="1" applyAlignment="1">
      <alignment horizontal="right" vertical="center"/>
    </xf>
    <xf numFmtId="169" fontId="26" fillId="0" borderId="0" xfId="2" applyNumberFormat="1" applyFont="1" applyFill="1" applyBorder="1" applyAlignment="1">
      <alignment vertical="center"/>
    </xf>
    <xf numFmtId="10" fontId="33" fillId="0" borderId="0" xfId="2" applyNumberFormat="1" applyFont="1" applyFill="1" applyBorder="1" applyAlignment="1">
      <alignment horizontal="right" vertical="center"/>
    </xf>
    <xf numFmtId="169" fontId="27" fillId="0" borderId="0" xfId="2" applyNumberFormat="1" applyFont="1" applyBorder="1"/>
    <xf numFmtId="0" fontId="34" fillId="0" borderId="15" xfId="0" applyFont="1" applyBorder="1" applyAlignment="1">
      <alignment vertical="center"/>
    </xf>
    <xf numFmtId="170" fontId="26" fillId="9" borderId="0" xfId="1" applyNumberFormat="1" applyFont="1" applyFill="1" applyBorder="1" applyAlignment="1">
      <alignment horizontal="right" vertical="center"/>
    </xf>
    <xf numFmtId="9" fontId="26" fillId="0" borderId="0" xfId="2" applyFont="1" applyFill="1" applyBorder="1" applyAlignment="1">
      <alignment horizontal="right" vertical="center"/>
    </xf>
    <xf numFmtId="0" fontId="33" fillId="0" borderId="15" xfId="0" applyFont="1" applyBorder="1" applyAlignment="1">
      <alignment vertical="center"/>
    </xf>
    <xf numFmtId="164" fontId="33" fillId="0" borderId="0" xfId="1" applyFont="1" applyBorder="1"/>
    <xf numFmtId="0" fontId="33" fillId="0" borderId="0" xfId="0" applyFont="1" applyAlignment="1">
      <alignment vertical="center"/>
    </xf>
    <xf numFmtId="168" fontId="26" fillId="0" borderId="0" xfId="1" applyNumberFormat="1" applyFont="1" applyFill="1" applyBorder="1" applyAlignment="1">
      <alignment horizontal="right" vertical="center"/>
    </xf>
    <xf numFmtId="10" fontId="33" fillId="0" borderId="0" xfId="2" applyNumberFormat="1" applyFont="1" applyBorder="1"/>
    <xf numFmtId="169" fontId="26" fillId="0" borderId="0" xfId="2" applyNumberFormat="1" applyFont="1" applyBorder="1" applyAlignment="1">
      <alignment vertical="center"/>
    </xf>
    <xf numFmtId="10" fontId="26" fillId="9" borderId="0" xfId="2" applyNumberFormat="1" applyFont="1" applyFill="1" applyBorder="1" applyAlignment="1">
      <alignment horizontal="right" vertical="center" wrapText="1"/>
    </xf>
    <xf numFmtId="164" fontId="33" fillId="0" borderId="0" xfId="1" applyFont="1" applyFill="1" applyBorder="1" applyAlignment="1">
      <alignment horizontal="right" vertical="center"/>
    </xf>
    <xf numFmtId="0" fontId="36" fillId="0" borderId="15" xfId="0" applyFont="1" applyBorder="1" applyAlignment="1">
      <alignment vertical="center"/>
    </xf>
    <xf numFmtId="0" fontId="31" fillId="0" borderId="5" xfId="0" applyFont="1" applyBorder="1" applyAlignment="1">
      <alignment vertical="center"/>
    </xf>
    <xf numFmtId="0" fontId="27" fillId="0" borderId="6" xfId="0" applyFont="1" applyBorder="1"/>
    <xf numFmtId="169" fontId="27" fillId="0" borderId="6" xfId="2" applyNumberFormat="1" applyFont="1" applyBorder="1"/>
    <xf numFmtId="0" fontId="31" fillId="0" borderId="6" xfId="0" applyFont="1" applyBorder="1" applyAlignment="1">
      <alignment vertical="center"/>
    </xf>
    <xf numFmtId="0" fontId="26" fillId="0" borderId="6" xfId="0" applyFont="1" applyBorder="1"/>
    <xf numFmtId="0" fontId="26" fillId="0" borderId="7" xfId="0" applyFont="1" applyBorder="1"/>
    <xf numFmtId="0" fontId="31" fillId="0" borderId="2" xfId="0" applyFont="1" applyBorder="1" applyAlignment="1">
      <alignment vertical="center"/>
    </xf>
    <xf numFmtId="169" fontId="27" fillId="0" borderId="3" xfId="2" applyNumberFormat="1" applyFont="1" applyBorder="1"/>
    <xf numFmtId="0" fontId="26" fillId="0" borderId="3" xfId="0" applyFont="1" applyBorder="1"/>
    <xf numFmtId="0" fontId="26" fillId="0" borderId="4" xfId="0" applyFont="1" applyBorder="1"/>
    <xf numFmtId="0" fontId="28" fillId="0" borderId="15" xfId="0" applyFont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36" fillId="8" borderId="1" xfId="0" applyFont="1" applyFill="1" applyBorder="1" applyAlignment="1">
      <alignment horizontal="center" vertical="center"/>
    </xf>
    <xf numFmtId="0" fontId="36" fillId="8" borderId="11" xfId="0" applyFont="1" applyFill="1" applyBorder="1" applyAlignment="1">
      <alignment horizontal="center" vertical="center"/>
    </xf>
    <xf numFmtId="169" fontId="36" fillId="8" borderId="11" xfId="2" applyNumberFormat="1" applyFont="1" applyFill="1" applyBorder="1" applyAlignment="1">
      <alignment horizontal="center" vertical="center"/>
    </xf>
    <xf numFmtId="0" fontId="31" fillId="0" borderId="15" xfId="0" applyFont="1" applyBorder="1" applyAlignment="1">
      <alignment vertical="center"/>
    </xf>
    <xf numFmtId="164" fontId="26" fillId="9" borderId="6" xfId="1" applyFont="1" applyFill="1" applyBorder="1" applyAlignment="1">
      <alignment horizontal="right" vertical="center"/>
    </xf>
    <xf numFmtId="10" fontId="31" fillId="0" borderId="0" xfId="2" applyNumberFormat="1" applyFont="1" applyBorder="1" applyAlignment="1">
      <alignment horizontal="center" vertical="center"/>
    </xf>
    <xf numFmtId="169" fontId="31" fillId="0" borderId="0" xfId="2" applyNumberFormat="1" applyFont="1" applyFill="1" applyBorder="1" applyAlignment="1">
      <alignment horizontal="center" vertical="center"/>
    </xf>
    <xf numFmtId="10" fontId="26" fillId="0" borderId="19" xfId="2" applyNumberFormat="1" applyFont="1" applyBorder="1" applyAlignment="1">
      <alignment horizontal="center"/>
    </xf>
    <xf numFmtId="10" fontId="31" fillId="0" borderId="6" xfId="2" applyNumberFormat="1" applyFont="1" applyBorder="1" applyAlignment="1">
      <alignment horizontal="center" vertical="center"/>
    </xf>
    <xf numFmtId="171" fontId="31" fillId="0" borderId="7" xfId="2" applyNumberFormat="1" applyFont="1" applyBorder="1" applyAlignment="1">
      <alignment horizontal="center" vertical="center"/>
    </xf>
    <xf numFmtId="0" fontId="37" fillId="0" borderId="15" xfId="0" applyFont="1" applyBorder="1" applyAlignment="1">
      <alignment vertical="center"/>
    </xf>
    <xf numFmtId="164" fontId="38" fillId="0" borderId="0" xfId="0" applyNumberFormat="1" applyFont="1" applyAlignment="1">
      <alignment vertical="center"/>
    </xf>
    <xf numFmtId="169" fontId="26" fillId="0" borderId="0" xfId="2" applyNumberFormat="1" applyFont="1" applyBorder="1"/>
    <xf numFmtId="10" fontId="39" fillId="0" borderId="31" xfId="2" applyNumberFormat="1" applyFont="1" applyBorder="1" applyAlignment="1">
      <alignment horizontal="right" vertical="center"/>
    </xf>
    <xf numFmtId="169" fontId="31" fillId="0" borderId="6" xfId="2" applyNumberFormat="1" applyFont="1" applyBorder="1" applyAlignment="1">
      <alignment vertical="center"/>
    </xf>
    <xf numFmtId="0" fontId="31" fillId="0" borderId="7" xfId="0" applyFont="1" applyBorder="1" applyAlignment="1">
      <alignment vertical="center"/>
    </xf>
    <xf numFmtId="0" fontId="26" fillId="0" borderId="15" xfId="0" applyFont="1" applyBorder="1"/>
    <xf numFmtId="10" fontId="26" fillId="9" borderId="8" xfId="2" applyNumberFormat="1" applyFont="1" applyFill="1" applyBorder="1" applyAlignment="1">
      <alignment horizontal="right" vertical="center" wrapText="1"/>
    </xf>
    <xf numFmtId="0" fontId="30" fillId="0" borderId="0" xfId="0" applyFont="1" applyAlignment="1">
      <alignment horizontal="right"/>
    </xf>
    <xf numFmtId="10" fontId="26" fillId="0" borderId="31" xfId="2" applyNumberFormat="1" applyFont="1" applyBorder="1"/>
    <xf numFmtId="169" fontId="30" fillId="0" borderId="0" xfId="2" applyNumberFormat="1" applyFont="1" applyBorder="1" applyAlignment="1">
      <alignment horizontal="right"/>
    </xf>
    <xf numFmtId="0" fontId="26" fillId="0" borderId="0" xfId="0" applyFont="1" applyAlignment="1">
      <alignment horizontal="right"/>
    </xf>
    <xf numFmtId="169" fontId="39" fillId="0" borderId="6" xfId="2" applyNumberFormat="1" applyFont="1" applyBorder="1" applyAlignment="1">
      <alignment horizontal="right" vertical="center"/>
    </xf>
    <xf numFmtId="10" fontId="39" fillId="0" borderId="33" xfId="2" applyNumberFormat="1" applyFont="1" applyBorder="1" applyAlignment="1">
      <alignment vertical="center"/>
    </xf>
    <xf numFmtId="0" fontId="26" fillId="0" borderId="5" xfId="0" applyFont="1" applyBorder="1"/>
    <xf numFmtId="169" fontId="26" fillId="0" borderId="6" xfId="2" applyNumberFormat="1" applyFont="1" applyBorder="1"/>
    <xf numFmtId="0" fontId="3" fillId="0" borderId="8" xfId="0" applyFont="1" applyBorder="1" applyAlignment="1">
      <alignment horizontal="center"/>
    </xf>
    <xf numFmtId="0" fontId="15" fillId="2" borderId="23" xfId="0" applyFont="1" applyFill="1" applyBorder="1" applyAlignment="1">
      <alignment horizontal="center"/>
    </xf>
    <xf numFmtId="0" fontId="13" fillId="0" borderId="0" xfId="1" applyNumberFormat="1" applyFont="1" applyFill="1" applyBorder="1" applyAlignment="1">
      <alignment horizontal="right"/>
    </xf>
    <xf numFmtId="174" fontId="13" fillId="0" borderId="0" xfId="0" applyNumberFormat="1" applyFont="1" applyAlignment="1">
      <alignment horizontal="right"/>
    </xf>
    <xf numFmtId="174" fontId="16" fillId="0" borderId="0" xfId="1" applyNumberFormat="1" applyFont="1" applyBorder="1" applyAlignment="1">
      <alignment horizontal="right"/>
    </xf>
    <xf numFmtId="0" fontId="13" fillId="0" borderId="0" xfId="0" applyFont="1" applyAlignment="1">
      <alignment horizontal="right"/>
    </xf>
    <xf numFmtId="0" fontId="5" fillId="0" borderId="23" xfId="0" applyFont="1" applyBorder="1" applyAlignment="1">
      <alignment horizontal="right"/>
    </xf>
    <xf numFmtId="44" fontId="16" fillId="3" borderId="0" xfId="1" applyNumberFormat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37" fontId="13" fillId="0" borderId="24" xfId="0" applyNumberFormat="1" applyFont="1" applyBorder="1"/>
    <xf numFmtId="37" fontId="13" fillId="6" borderId="24" xfId="0" applyNumberFormat="1" applyFont="1" applyFill="1" applyBorder="1"/>
    <xf numFmtId="37" fontId="13" fillId="11" borderId="24" xfId="0" applyNumberFormat="1" applyFont="1" applyFill="1" applyBorder="1"/>
    <xf numFmtId="0" fontId="13" fillId="6" borderId="23" xfId="0" applyFont="1" applyFill="1" applyBorder="1"/>
    <xf numFmtId="0" fontId="13" fillId="6" borderId="0" xfId="0" applyFont="1" applyFill="1"/>
    <xf numFmtId="39" fontId="13" fillId="6" borderId="0" xfId="0" applyNumberFormat="1" applyFont="1" applyFill="1"/>
    <xf numFmtId="0" fontId="13" fillId="11" borderId="23" xfId="0" applyFont="1" applyFill="1" applyBorder="1"/>
    <xf numFmtId="0" fontId="13" fillId="11" borderId="0" xfId="0" applyFont="1" applyFill="1"/>
    <xf numFmtId="39" fontId="13" fillId="11" borderId="0" xfId="0" applyNumberFormat="1" applyFont="1" applyFill="1"/>
    <xf numFmtId="0" fontId="18" fillId="6" borderId="0" xfId="0" applyFont="1" applyFill="1" applyAlignment="1">
      <alignment horizontal="center"/>
    </xf>
    <xf numFmtId="39" fontId="13" fillId="0" borderId="0" xfId="0" applyNumberFormat="1" applyFont="1"/>
    <xf numFmtId="174" fontId="13" fillId="0" borderId="0" xfId="0" applyNumberFormat="1" applyFont="1"/>
    <xf numFmtId="0" fontId="8" fillId="0" borderId="0" xfId="0" applyFont="1" applyAlignment="1">
      <alignment horizontal="center"/>
    </xf>
    <xf numFmtId="0" fontId="26" fillId="0" borderId="1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horizontal="center"/>
    </xf>
    <xf numFmtId="0" fontId="29" fillId="10" borderId="2" xfId="0" applyFont="1" applyFill="1" applyBorder="1" applyAlignment="1">
      <alignment horizontal="center" vertical="center"/>
    </xf>
    <xf numFmtId="0" fontId="29" fillId="10" borderId="3" xfId="0" applyFont="1" applyFill="1" applyBorder="1" applyAlignment="1">
      <alignment horizontal="center" vertical="center"/>
    </xf>
    <xf numFmtId="0" fontId="28" fillId="0" borderId="15" xfId="0" applyFont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31" fillId="0" borderId="0" xfId="0" applyFont="1" applyAlignment="1">
      <alignment vertical="center"/>
    </xf>
    <xf numFmtId="0" fontId="30" fillId="0" borderId="15" xfId="0" applyFont="1" applyBorder="1" applyAlignment="1">
      <alignment vertical="center"/>
    </xf>
    <xf numFmtId="0" fontId="30" fillId="0" borderId="0" xfId="0" applyFont="1" applyAlignment="1">
      <alignment vertical="center"/>
    </xf>
    <xf numFmtId="41" fontId="27" fillId="0" borderId="8" xfId="0" applyNumberFormat="1" applyFont="1" applyBorder="1" applyAlignment="1">
      <alignment horizontal="center"/>
    </xf>
    <xf numFmtId="169" fontId="39" fillId="0" borderId="21" xfId="2" applyNumberFormat="1" applyFont="1" applyBorder="1" applyAlignment="1">
      <alignment horizontal="right" vertical="center"/>
    </xf>
    <xf numFmtId="169" fontId="39" fillId="0" borderId="22" xfId="2" applyNumberFormat="1" applyFont="1" applyBorder="1" applyAlignment="1">
      <alignment horizontal="right" vertical="center"/>
    </xf>
    <xf numFmtId="0" fontId="30" fillId="0" borderId="32" xfId="0" applyFont="1" applyBorder="1" applyAlignment="1">
      <alignment horizontal="center"/>
    </xf>
    <xf numFmtId="0" fontId="30" fillId="0" borderId="8" xfId="0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6" fillId="5" borderId="29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164" fontId="15" fillId="2" borderId="16" xfId="1" applyFont="1" applyFill="1" applyBorder="1" applyAlignment="1">
      <alignment horizontal="center"/>
    </xf>
    <xf numFmtId="43" fontId="13" fillId="5" borderId="8" xfId="0" applyNumberFormat="1" applyFont="1" applyFill="1" applyBorder="1" applyAlignment="1">
      <alignment horizontal="center"/>
    </xf>
    <xf numFmtId="164" fontId="13" fillId="5" borderId="8" xfId="1" applyFont="1" applyFill="1" applyBorder="1" applyAlignment="1">
      <alignment horizontal="center"/>
    </xf>
    <xf numFmtId="10" fontId="13" fillId="5" borderId="8" xfId="2" applyNumberFormat="1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 wrapText="1"/>
    </xf>
    <xf numFmtId="0" fontId="13" fillId="0" borderId="23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24" xfId="0" applyFont="1" applyBorder="1" applyAlignment="1">
      <alignment horizontal="left" wrapText="1"/>
    </xf>
    <xf numFmtId="0" fontId="6" fillId="5" borderId="27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40" fillId="4" borderId="23" xfId="0" applyFont="1" applyFill="1" applyBorder="1" applyAlignment="1">
      <alignment horizontal="left"/>
    </xf>
    <xf numFmtId="0" fontId="40" fillId="4" borderId="0" xfId="0" applyFont="1" applyFill="1" applyAlignment="1">
      <alignment horizontal="left"/>
    </xf>
    <xf numFmtId="0" fontId="40" fillId="4" borderId="24" xfId="0" applyFont="1" applyFill="1" applyBorder="1" applyAlignment="1">
      <alignment horizontal="left"/>
    </xf>
    <xf numFmtId="10" fontId="16" fillId="4" borderId="24" xfId="2" applyNumberFormat="1" applyFont="1" applyFill="1" applyBorder="1" applyAlignment="1">
      <alignment horizontal="center" vertical="center"/>
    </xf>
    <xf numFmtId="10" fontId="16" fillId="4" borderId="26" xfId="2" applyNumberFormat="1" applyFont="1" applyFill="1" applyBorder="1" applyAlignment="1">
      <alignment horizontal="center" vertical="center"/>
    </xf>
    <xf numFmtId="0" fontId="16" fillId="4" borderId="23" xfId="0" applyFont="1" applyFill="1" applyBorder="1" applyAlignment="1">
      <alignment horizontal="right" vertical="center" wrapText="1"/>
    </xf>
    <xf numFmtId="0" fontId="16" fillId="4" borderId="0" xfId="0" applyFont="1" applyFill="1" applyAlignment="1">
      <alignment horizontal="right" vertical="center" wrapText="1"/>
    </xf>
    <xf numFmtId="0" fontId="16" fillId="4" borderId="25" xfId="0" applyFont="1" applyFill="1" applyBorder="1" applyAlignment="1">
      <alignment horizontal="right" vertical="center" wrapText="1"/>
    </xf>
    <xf numFmtId="0" fontId="16" fillId="4" borderId="16" xfId="0" applyFont="1" applyFill="1" applyBorder="1" applyAlignment="1">
      <alignment horizontal="righ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3" fillId="3" borderId="21" xfId="0" applyFont="1" applyFill="1" applyBorder="1" applyAlignment="1">
      <alignment horizontal="left" vertical="center" wrapText="1"/>
    </xf>
    <xf numFmtId="0" fontId="3" fillId="3" borderId="22" xfId="0" applyFont="1" applyFill="1" applyBorder="1" applyAlignment="1">
      <alignment horizontal="left" vertical="center" wrapText="1"/>
    </xf>
    <xf numFmtId="0" fontId="3" fillId="3" borderId="25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3" fillId="0" borderId="16" xfId="1" applyFont="1" applyBorder="1" applyAlignment="1">
      <alignment horizontal="center" vertical="center" wrapText="1"/>
    </xf>
    <xf numFmtId="166" fontId="9" fillId="2" borderId="15" xfId="1" applyNumberFormat="1" applyFont="1" applyFill="1" applyBorder="1" applyAlignment="1">
      <alignment horizontal="center" vertical="center"/>
    </xf>
    <xf numFmtId="166" fontId="9" fillId="2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7" fillId="2" borderId="20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 shrinkToFit="1"/>
    </xf>
    <xf numFmtId="0" fontId="16" fillId="0" borderId="7" xfId="0" applyFont="1" applyBorder="1" applyAlignment="1">
      <alignment horizontal="center" vertical="center" wrapText="1" shrinkToFi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6" fillId="5" borderId="9" xfId="0" applyFont="1" applyFill="1" applyBorder="1" applyAlignment="1">
      <alignment horizontal="center" wrapText="1"/>
    </xf>
    <xf numFmtId="0" fontId="6" fillId="5" borderId="10" xfId="0" applyFont="1" applyFill="1" applyBorder="1" applyAlignment="1">
      <alignment horizontal="center" wrapText="1"/>
    </xf>
    <xf numFmtId="0" fontId="6" fillId="5" borderId="11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vertical="center" wrapText="1"/>
    </xf>
  </cellXfs>
  <cellStyles count="70">
    <cellStyle name="Comma 2" xfId="68" xr:uid="{00000000-0005-0000-0000-000000000000}"/>
    <cellStyle name="Currency 2" xfId="69" xr:uid="{00000000-0005-0000-0000-000001000000}"/>
    <cellStyle name="Millares" xfId="1" builtinId="3"/>
    <cellStyle name="Millares [0] 2" xfId="18" xr:uid="{00000000-0005-0000-0000-000003000000}"/>
    <cellStyle name="Millares [0] 2 2" xfId="27" xr:uid="{00000000-0005-0000-0000-000004000000}"/>
    <cellStyle name="Millares [0] 2 2 2" xfId="48" xr:uid="{00000000-0005-0000-0000-000005000000}"/>
    <cellStyle name="Millares [0] 2 3" xfId="39" xr:uid="{00000000-0005-0000-0000-000006000000}"/>
    <cellStyle name="Millares [0] 2 4" xfId="60" xr:uid="{00000000-0005-0000-0000-000007000000}"/>
    <cellStyle name="Millares [0] 3" xfId="23" xr:uid="{00000000-0005-0000-0000-000008000000}"/>
    <cellStyle name="Millares [0] 3 2" xfId="44" xr:uid="{00000000-0005-0000-0000-000009000000}"/>
    <cellStyle name="Millares 10" xfId="51" xr:uid="{00000000-0005-0000-0000-00000A000000}"/>
    <cellStyle name="Millares 11" xfId="50" xr:uid="{00000000-0005-0000-0000-00000B000000}"/>
    <cellStyle name="Millares 2" xfId="3" xr:uid="{00000000-0005-0000-0000-00000C000000}"/>
    <cellStyle name="Millares 2 2" xfId="30" xr:uid="{00000000-0005-0000-0000-00000D000000}"/>
    <cellStyle name="Millares 2 2 2" xfId="57" xr:uid="{00000000-0005-0000-0000-00000E000000}"/>
    <cellStyle name="Millares 2 3" xfId="36" xr:uid="{00000000-0005-0000-0000-00000F000000}"/>
    <cellStyle name="Millares 2 3 2" xfId="62" xr:uid="{00000000-0005-0000-0000-000010000000}"/>
    <cellStyle name="Millares 2 4" xfId="15" xr:uid="{00000000-0005-0000-0000-000011000000}"/>
    <cellStyle name="Millares 2 5" xfId="11" xr:uid="{00000000-0005-0000-0000-000012000000}"/>
    <cellStyle name="Millares 2 6" xfId="56" xr:uid="{00000000-0005-0000-0000-000013000000}"/>
    <cellStyle name="Millares 3" xfId="17" xr:uid="{00000000-0005-0000-0000-000014000000}"/>
    <cellStyle name="Millares 3 2" xfId="38" xr:uid="{00000000-0005-0000-0000-000015000000}"/>
    <cellStyle name="Millares 3 3" xfId="64" xr:uid="{00000000-0005-0000-0000-000016000000}"/>
    <cellStyle name="Millares 4" xfId="22" xr:uid="{00000000-0005-0000-0000-000017000000}"/>
    <cellStyle name="Millares 4 2" xfId="43" xr:uid="{00000000-0005-0000-0000-000018000000}"/>
    <cellStyle name="Millares 4 3" xfId="58" xr:uid="{00000000-0005-0000-0000-000019000000}"/>
    <cellStyle name="Millares 5" xfId="31" xr:uid="{00000000-0005-0000-0000-00001A000000}"/>
    <cellStyle name="Millares 5 2" xfId="61" xr:uid="{00000000-0005-0000-0000-00001B000000}"/>
    <cellStyle name="Millares 6" xfId="25" xr:uid="{00000000-0005-0000-0000-00001C000000}"/>
    <cellStyle name="Millares 6 2" xfId="46" xr:uid="{00000000-0005-0000-0000-00001D000000}"/>
    <cellStyle name="Millares 6 3" xfId="65" xr:uid="{00000000-0005-0000-0000-00001E000000}"/>
    <cellStyle name="Millares 7" xfId="34" xr:uid="{00000000-0005-0000-0000-00001F000000}"/>
    <cellStyle name="Millares 7 2" xfId="66" xr:uid="{00000000-0005-0000-0000-000020000000}"/>
    <cellStyle name="Millares 8" xfId="49" xr:uid="{00000000-0005-0000-0000-000021000000}"/>
    <cellStyle name="Millares 8 2" xfId="67" xr:uid="{00000000-0005-0000-0000-000022000000}"/>
    <cellStyle name="Millares 9" xfId="5" xr:uid="{00000000-0005-0000-0000-000023000000}"/>
    <cellStyle name="Millares 9 2" xfId="52" xr:uid="{00000000-0005-0000-0000-000024000000}"/>
    <cellStyle name="Moneda 2" xfId="7" xr:uid="{00000000-0005-0000-0000-000025000000}"/>
    <cellStyle name="Moneda 2 2" xfId="28" xr:uid="{00000000-0005-0000-0000-000026000000}"/>
    <cellStyle name="Moneda 2 3" xfId="33" xr:uid="{00000000-0005-0000-0000-000027000000}"/>
    <cellStyle name="Moneda 2 4" xfId="12" xr:uid="{00000000-0005-0000-0000-000028000000}"/>
    <cellStyle name="Moneda 2 5" xfId="59" xr:uid="{00000000-0005-0000-0000-000029000000}"/>
    <cellStyle name="Moneda 3" xfId="32" xr:uid="{00000000-0005-0000-0000-00002A000000}"/>
    <cellStyle name="Moneda 3 2" xfId="53" xr:uid="{00000000-0005-0000-0000-00002B000000}"/>
    <cellStyle name="Moneda 4" xfId="6" xr:uid="{00000000-0005-0000-0000-00002C000000}"/>
    <cellStyle name="Normal" xfId="0" builtinId="0"/>
    <cellStyle name="Normal 2" xfId="10" xr:uid="{00000000-0005-0000-0000-00002E000000}"/>
    <cellStyle name="Normal 2 2" xfId="35" xr:uid="{00000000-0005-0000-0000-00002F000000}"/>
    <cellStyle name="Normal 2 3" xfId="14" xr:uid="{00000000-0005-0000-0000-000030000000}"/>
    <cellStyle name="Normal 3" xfId="16" xr:uid="{00000000-0005-0000-0000-000031000000}"/>
    <cellStyle name="Normal 3 2" xfId="37" xr:uid="{00000000-0005-0000-0000-000032000000}"/>
    <cellStyle name="Normal 3 2 2" xfId="63" xr:uid="{00000000-0005-0000-0000-000033000000}"/>
    <cellStyle name="Normal 3 3" xfId="55" xr:uid="{00000000-0005-0000-0000-000034000000}"/>
    <cellStyle name="Normal 4" xfId="20" xr:uid="{00000000-0005-0000-0000-000035000000}"/>
    <cellStyle name="Normal 4 2" xfId="41" xr:uid="{00000000-0005-0000-0000-000036000000}"/>
    <cellStyle name="Normal 5" xfId="4" xr:uid="{00000000-0005-0000-0000-000037000000}"/>
    <cellStyle name="Normal 6" xfId="24" xr:uid="{00000000-0005-0000-0000-000038000000}"/>
    <cellStyle name="Normal 6 2" xfId="45" xr:uid="{00000000-0005-0000-0000-000039000000}"/>
    <cellStyle name="Porcentaje" xfId="2" builtinId="5"/>
    <cellStyle name="Porcentaje 2" xfId="9" xr:uid="{00000000-0005-0000-0000-00003B000000}"/>
    <cellStyle name="Porcentaje 2 2" xfId="29" xr:uid="{00000000-0005-0000-0000-00003C000000}"/>
    <cellStyle name="Porcentaje 2 3" xfId="13" xr:uid="{00000000-0005-0000-0000-00003D000000}"/>
    <cellStyle name="Porcentaje 3" xfId="19" xr:uid="{00000000-0005-0000-0000-00003E000000}"/>
    <cellStyle name="Porcentaje 3 2" xfId="40" xr:uid="{00000000-0005-0000-0000-00003F000000}"/>
    <cellStyle name="Porcentaje 3 3" xfId="54" xr:uid="{00000000-0005-0000-0000-000040000000}"/>
    <cellStyle name="Porcentaje 4" xfId="8" xr:uid="{00000000-0005-0000-0000-000041000000}"/>
    <cellStyle name="Porcentaje 5" xfId="21" xr:uid="{00000000-0005-0000-0000-000042000000}"/>
    <cellStyle name="Porcentaje 5 2" xfId="42" xr:uid="{00000000-0005-0000-0000-000043000000}"/>
    <cellStyle name="Porcentaje 7" xfId="26" xr:uid="{00000000-0005-0000-0000-000044000000}"/>
    <cellStyle name="Porcentaje 7 2" xfId="47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119062</xdr:colOff>
      <xdr:row>3</xdr:row>
      <xdr:rowOff>31750</xdr:rowOff>
    </xdr:from>
    <xdr:to>
      <xdr:col>11</xdr:col>
      <xdr:colOff>52387</xdr:colOff>
      <xdr:row>19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E1C6DF4-BCE3-FA9E-0094-C44D0CBF6A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9562" y="666750"/>
          <a:ext cx="7553325" cy="3067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213392</xdr:colOff>
      <xdr:row>40</xdr:row>
      <xdr:rowOff>168246</xdr:rowOff>
    </xdr:from>
    <xdr:to>
      <xdr:col>15</xdr:col>
      <xdr:colOff>717347</xdr:colOff>
      <xdr:row>52</xdr:row>
      <xdr:rowOff>264777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7D6C933-BCB9-41F8-9D93-EE6B33A8C0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86392" y="7464396"/>
          <a:ext cx="4313955" cy="2601606"/>
        </a:xfrm>
        <a:prstGeom prst="rect">
          <a:avLst/>
        </a:prstGeom>
      </xdr:spPr>
    </xdr:pic>
    <xdr:clientData/>
  </xdr:twoCellAnchor>
  <xdr:twoCellAnchor editAs="oneCell">
    <xdr:from>
      <xdr:col>10</xdr:col>
      <xdr:colOff>212912</xdr:colOff>
      <xdr:row>13</xdr:row>
      <xdr:rowOff>11207</xdr:rowOff>
    </xdr:from>
    <xdr:to>
      <xdr:col>16</xdr:col>
      <xdr:colOff>437030</xdr:colOff>
      <xdr:row>24</xdr:row>
      <xdr:rowOff>98345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E7F5956-3E4A-44D4-87CB-5B3EF5EDE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97118" y="2196354"/>
          <a:ext cx="4796118" cy="210419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14</xdr:row>
      <xdr:rowOff>95250</xdr:rowOff>
    </xdr:from>
    <xdr:to>
      <xdr:col>10</xdr:col>
      <xdr:colOff>406362</xdr:colOff>
      <xdr:row>18</xdr:row>
      <xdr:rowOff>215699</xdr:rowOff>
    </xdr:to>
    <xdr:grpSp>
      <xdr:nvGrpSpPr>
        <xdr:cNvPr id="15" name="Grupo 14">
          <a:extLst>
            <a:ext uri="{FF2B5EF4-FFF2-40B4-BE49-F238E27FC236}">
              <a16:creationId xmlns:a16="http://schemas.microsoft.com/office/drawing/2014/main" id="{00000000-0008-0000-0900-00000F000000}"/>
            </a:ext>
          </a:extLst>
        </xdr:cNvPr>
        <xdr:cNvGrpSpPr/>
      </xdr:nvGrpSpPr>
      <xdr:grpSpPr>
        <a:xfrm>
          <a:off x="3114675" y="2895600"/>
          <a:ext cx="6045162" cy="1034849"/>
          <a:chOff x="3257550" y="2924175"/>
          <a:chExt cx="6045162" cy="1034849"/>
        </a:xfrm>
      </xdr:grpSpPr>
      <xdr:pic>
        <xdr:nvPicPr>
          <xdr:cNvPr id="4" name="Imagen 3">
            <a:extLst>
              <a:ext uri="{FF2B5EF4-FFF2-40B4-BE49-F238E27FC236}">
                <a16:creationId xmlns:a16="http://schemas.microsoft.com/office/drawing/2014/main" id="{00000000-0008-0000-09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257550" y="2924175"/>
            <a:ext cx="6045162" cy="1034849"/>
          </a:xfrm>
          <a:prstGeom prst="rect">
            <a:avLst/>
          </a:prstGeom>
        </xdr:spPr>
      </xdr:pic>
      <xdr:cxnSp macro="">
        <xdr:nvCxnSpPr>
          <xdr:cNvPr id="13" name="Conector recto 12">
            <a:extLst>
              <a:ext uri="{FF2B5EF4-FFF2-40B4-BE49-F238E27FC236}">
                <a16:creationId xmlns:a16="http://schemas.microsoft.com/office/drawing/2014/main" id="{00000000-0008-0000-0900-00000D000000}"/>
              </a:ext>
            </a:extLst>
          </xdr:cNvPr>
          <xdr:cNvCxnSpPr/>
        </xdr:nvCxnSpPr>
        <xdr:spPr>
          <a:xfrm>
            <a:off x="4705350" y="3423287"/>
            <a:ext cx="2276475" cy="5713"/>
          </a:xfrm>
          <a:prstGeom prst="line">
            <a:avLst/>
          </a:prstGeom>
        </xdr:spPr>
        <xdr:style>
          <a:lnRef idx="3">
            <a:schemeClr val="dk1"/>
          </a:lnRef>
          <a:fillRef idx="0">
            <a:schemeClr val="dk1"/>
          </a:fillRef>
          <a:effectRef idx="2">
            <a:schemeClr val="dk1"/>
          </a:effectRef>
          <a:fontRef idx="minor">
            <a:schemeClr val="tx1"/>
          </a:fontRef>
        </xdr:style>
      </xdr:cxn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uhispano-my.sharepoint.com/personal/fernando_ramirez_uh_ac_cr/Documents/Documentos/UH/Precios/Solicitud%20tarifas%20para%202020%20CONESU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upo de Carreras A"/>
      <sheetName val="Grupo de Carreras B"/>
      <sheetName val="Modelo Inversión"/>
      <sheetName val="Hoja1"/>
    </sheetNames>
    <sheetDataSet>
      <sheetData sheetId="0">
        <row r="33">
          <cell r="C33">
            <v>111230.84093399999</v>
          </cell>
        </row>
      </sheetData>
      <sheetData sheetId="1"/>
      <sheetData sheetId="2"/>
      <sheetData sheetId="3">
        <row r="10">
          <cell r="P10">
            <v>4.3917999999999999E-2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B2:K9"/>
  <sheetViews>
    <sheetView showGridLines="0" zoomScale="120" zoomScaleNormal="120" workbookViewId="0">
      <selection activeCell="B2" sqref="B2:J2"/>
    </sheetView>
  </sheetViews>
  <sheetFormatPr baseColWidth="10" defaultColWidth="11.42578125" defaultRowHeight="15" x14ac:dyDescent="0.25"/>
  <cols>
    <col min="1" max="1" width="2.85546875" customWidth="1"/>
  </cols>
  <sheetData>
    <row r="2" spans="2:11" s="12" customFormat="1" ht="22.5" x14ac:dyDescent="0.3">
      <c r="B2" s="235" t="s">
        <v>53</v>
      </c>
      <c r="C2" s="235"/>
      <c r="D2" s="235"/>
      <c r="E2" s="235"/>
      <c r="F2" s="235"/>
      <c r="G2" s="235"/>
      <c r="H2" s="235"/>
      <c r="I2" s="235"/>
      <c r="J2" s="235"/>
    </row>
    <row r="3" spans="2:11" s="12" customFormat="1" ht="12.75" x14ac:dyDescent="0.2">
      <c r="C3" s="11"/>
      <c r="G3" s="13"/>
    </row>
    <row r="4" spans="2:11" s="12" customFormat="1" ht="12.75" x14ac:dyDescent="0.2">
      <c r="C4" s="11"/>
      <c r="G4" s="13"/>
    </row>
    <row r="5" spans="2:11" s="12" customFormat="1" ht="12.75" x14ac:dyDescent="0.2">
      <c r="C5" s="11"/>
      <c r="G5" s="13"/>
    </row>
    <row r="6" spans="2:11" x14ac:dyDescent="0.25">
      <c r="K6" s="12"/>
    </row>
    <row r="7" spans="2:11" x14ac:dyDescent="0.25">
      <c r="K7" s="12"/>
    </row>
    <row r="8" spans="2:11" x14ac:dyDescent="0.25">
      <c r="K8" s="12"/>
    </row>
    <row r="9" spans="2:11" x14ac:dyDescent="0.25">
      <c r="K9" s="12"/>
    </row>
  </sheetData>
  <mergeCells count="1">
    <mergeCell ref="B2:J2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1"/>
    <pageSetUpPr fitToPage="1"/>
  </sheetPr>
  <dimension ref="B1:K29"/>
  <sheetViews>
    <sheetView showGridLines="0" zoomScaleNormal="100" zoomScaleSheetLayoutView="100" workbookViewId="0">
      <selection activeCell="N19" sqref="N19"/>
    </sheetView>
  </sheetViews>
  <sheetFormatPr baseColWidth="10" defaultColWidth="11.5703125" defaultRowHeight="15" x14ac:dyDescent="0.25"/>
  <cols>
    <col min="1" max="1" width="2.85546875" style="1" customWidth="1"/>
    <col min="2" max="2" width="14.42578125" style="1" customWidth="1"/>
    <col min="3" max="3" width="14.85546875" style="1" customWidth="1"/>
    <col min="4" max="4" width="12.42578125" style="1" bestFit="1" customWidth="1"/>
    <col min="5" max="5" width="15.5703125" style="1" bestFit="1" customWidth="1"/>
    <col min="6" max="6" width="17.42578125" style="1" bestFit="1" customWidth="1"/>
    <col min="7" max="7" width="11.5703125" style="1"/>
    <col min="8" max="8" width="14.28515625" style="1" bestFit="1" customWidth="1"/>
    <col min="9" max="9" width="13.7109375" style="1" bestFit="1" customWidth="1"/>
    <col min="10" max="10" width="14.140625" style="1" bestFit="1" customWidth="1"/>
    <col min="11" max="16384" width="11.5703125" style="1"/>
  </cols>
  <sheetData>
    <row r="1" spans="2:11" ht="15.75" thickBot="1" x14ac:dyDescent="0.3"/>
    <row r="2" spans="2:11" ht="18.75" customHeight="1" x14ac:dyDescent="0.3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pans="2:11" ht="18.75" x14ac:dyDescent="0.3">
      <c r="B3" s="299" t="s">
        <v>193</v>
      </c>
      <c r="C3" s="300"/>
      <c r="D3" s="300"/>
      <c r="E3" s="300"/>
      <c r="F3" s="300"/>
      <c r="G3" s="300"/>
      <c r="H3" s="300"/>
      <c r="I3" s="300"/>
      <c r="J3" s="300"/>
      <c r="K3" s="301"/>
    </row>
    <row r="4" spans="2:11" ht="16.5" thickBot="1" x14ac:dyDescent="0.3">
      <c r="B4" s="302" t="str">
        <f>+Qn!B4</f>
        <v>Costos administativos para el TCU</v>
      </c>
      <c r="C4" s="303"/>
      <c r="D4" s="303"/>
      <c r="E4" s="303"/>
      <c r="F4" s="303"/>
      <c r="G4" s="303"/>
      <c r="H4" s="303"/>
      <c r="I4" s="303"/>
      <c r="J4" s="303"/>
      <c r="K4" s="304"/>
    </row>
    <row r="6" spans="2:11" ht="15.75" x14ac:dyDescent="0.25">
      <c r="B6" s="318" t="s">
        <v>186</v>
      </c>
      <c r="C6" s="319"/>
      <c r="D6" s="319"/>
      <c r="E6" s="319"/>
      <c r="F6" s="319"/>
      <c r="G6" s="319"/>
      <c r="H6" s="319"/>
      <c r="I6" s="319"/>
      <c r="J6" s="319"/>
      <c r="K6" s="320"/>
    </row>
    <row r="7" spans="2:11" x14ac:dyDescent="0.25">
      <c r="B7" s="36"/>
      <c r="K7" s="37"/>
    </row>
    <row r="8" spans="2:11" ht="14.45" customHeight="1" x14ac:dyDescent="0.25">
      <c r="B8" s="307" t="s">
        <v>194</v>
      </c>
      <c r="C8" s="308"/>
      <c r="D8" s="312" t="s">
        <v>187</v>
      </c>
      <c r="E8" s="312"/>
      <c r="F8" s="312"/>
      <c r="G8" s="312"/>
      <c r="H8" s="312"/>
      <c r="I8" s="312"/>
      <c r="J8" s="312"/>
      <c r="K8" s="313"/>
    </row>
    <row r="9" spans="2:11" ht="13.9" customHeight="1" x14ac:dyDescent="0.25">
      <c r="B9" s="307"/>
      <c r="C9" s="308"/>
      <c r="D9" s="312"/>
      <c r="E9" s="312"/>
      <c r="F9" s="312"/>
      <c r="G9" s="312"/>
      <c r="H9" s="312"/>
      <c r="I9" s="312"/>
      <c r="J9" s="312"/>
      <c r="K9" s="313"/>
    </row>
    <row r="10" spans="2:11" ht="14.45" customHeight="1" thickBot="1" x14ac:dyDescent="0.3">
      <c r="B10" s="307"/>
      <c r="C10" s="308"/>
      <c r="D10" s="312"/>
      <c r="E10" s="312"/>
      <c r="F10" s="312"/>
      <c r="G10" s="312"/>
      <c r="H10" s="312"/>
      <c r="I10" s="312"/>
      <c r="J10" s="312"/>
      <c r="K10" s="313"/>
    </row>
    <row r="11" spans="2:11" ht="13.9" customHeight="1" x14ac:dyDescent="0.25">
      <c r="B11" s="307"/>
      <c r="C11" s="308"/>
      <c r="D11" s="314" t="s">
        <v>188</v>
      </c>
      <c r="E11" s="314"/>
      <c r="F11" s="314"/>
      <c r="G11" s="314"/>
      <c r="H11" s="314"/>
      <c r="I11" s="314"/>
      <c r="J11" s="314"/>
      <c r="K11" s="315"/>
    </row>
    <row r="12" spans="2:11" ht="13.9" customHeight="1" x14ac:dyDescent="0.25">
      <c r="B12" s="307"/>
      <c r="C12" s="308"/>
      <c r="D12" s="316"/>
      <c r="E12" s="316"/>
      <c r="F12" s="316"/>
      <c r="G12" s="316"/>
      <c r="H12" s="316"/>
      <c r="I12" s="316"/>
      <c r="J12" s="316"/>
      <c r="K12" s="317"/>
    </row>
    <row r="13" spans="2:11" ht="22.5" customHeight="1" x14ac:dyDescent="0.25">
      <c r="B13" s="307"/>
      <c r="C13" s="308"/>
      <c r="D13" s="316"/>
      <c r="E13" s="316"/>
      <c r="F13" s="316"/>
      <c r="G13" s="316"/>
      <c r="H13" s="316"/>
      <c r="I13" s="316"/>
      <c r="J13" s="316"/>
      <c r="K13" s="317"/>
    </row>
    <row r="14" spans="2:11" ht="13.9" customHeight="1" x14ac:dyDescent="0.25">
      <c r="B14" s="38"/>
      <c r="C14" s="39"/>
      <c r="D14" s="6"/>
      <c r="E14" s="6"/>
      <c r="F14" s="6"/>
      <c r="G14" s="6"/>
      <c r="H14" s="6"/>
      <c r="I14" s="6"/>
      <c r="J14" s="6"/>
      <c r="K14" s="37"/>
    </row>
    <row r="15" spans="2:11" ht="13.9" customHeight="1" x14ac:dyDescent="0.25">
      <c r="B15" s="132"/>
      <c r="C15" s="133"/>
      <c r="D15" s="134"/>
      <c r="E15" s="134"/>
      <c r="F15" s="134"/>
      <c r="G15" s="134"/>
      <c r="H15" s="134"/>
      <c r="I15" s="134"/>
      <c r="J15" s="134"/>
      <c r="K15" s="135"/>
    </row>
    <row r="16" spans="2:11" ht="13.9" customHeight="1" x14ac:dyDescent="0.25">
      <c r="B16" s="38"/>
      <c r="C16" s="39"/>
      <c r="D16" s="6"/>
      <c r="E16" s="6"/>
      <c r="F16" s="6"/>
      <c r="G16" s="6"/>
      <c r="H16" s="6"/>
      <c r="I16" s="6"/>
      <c r="J16" s="6"/>
      <c r="K16" s="37"/>
    </row>
    <row r="17" spans="2:11" s="3" customFormat="1" ht="28.15" customHeight="1" x14ac:dyDescent="0.25">
      <c r="B17" s="305"/>
      <c r="C17" s="306"/>
      <c r="D17" s="4"/>
      <c r="E17" s="5"/>
      <c r="F17" s="6"/>
      <c r="G17" s="5"/>
      <c r="H17" s="6"/>
      <c r="I17" s="6"/>
      <c r="J17" s="6"/>
      <c r="K17" s="40"/>
    </row>
    <row r="18" spans="2:11" s="3" customFormat="1" ht="17.45" customHeight="1" x14ac:dyDescent="0.25">
      <c r="B18" s="38"/>
      <c r="C18" s="39"/>
      <c r="D18" s="4"/>
      <c r="E18" s="5"/>
      <c r="F18" s="6"/>
      <c r="G18" s="5"/>
      <c r="H18" s="6"/>
      <c r="I18" s="6"/>
      <c r="J18" s="6"/>
      <c r="K18" s="40"/>
    </row>
    <row r="19" spans="2:11" s="3" customFormat="1" ht="17.45" customHeight="1" x14ac:dyDescent="0.25">
      <c r="B19" s="38"/>
      <c r="C19" s="39"/>
      <c r="D19" s="4"/>
      <c r="E19" s="5"/>
      <c r="F19" s="6"/>
      <c r="G19" s="5"/>
      <c r="H19" s="6"/>
      <c r="I19" s="6"/>
      <c r="J19" s="6"/>
      <c r="K19" s="40"/>
    </row>
    <row r="20" spans="2:11" s="3" customFormat="1" ht="17.45" customHeight="1" thickBot="1" x14ac:dyDescent="0.3">
      <c r="B20" s="38"/>
      <c r="C20" s="39"/>
      <c r="D20" s="4"/>
      <c r="E20" s="5"/>
      <c r="F20" s="6"/>
      <c r="G20" s="5"/>
      <c r="H20" s="6"/>
      <c r="I20" s="6"/>
      <c r="J20" s="6"/>
      <c r="K20" s="40"/>
    </row>
    <row r="21" spans="2:11" s="3" customFormat="1" ht="25.15" customHeight="1" thickBot="1" x14ac:dyDescent="0.3">
      <c r="B21" s="38"/>
      <c r="C21" s="39"/>
      <c r="D21" s="4"/>
      <c r="E21" s="5"/>
      <c r="F21" s="7">
        <f>(GOA!E19)*(1-'CAPM-WACC'!C24)</f>
        <v>1134000</v>
      </c>
      <c r="G21" s="136" t="s">
        <v>2</v>
      </c>
      <c r="H21" s="20">
        <f>+(1+'CAPM-WACC'!J46)</f>
        <v>1.2650365312281848</v>
      </c>
      <c r="I21" s="22"/>
      <c r="J21" s="6"/>
      <c r="K21" s="40"/>
    </row>
    <row r="22" spans="2:11" s="3" customFormat="1" ht="10.15" customHeight="1" x14ac:dyDescent="0.25">
      <c r="B22" s="38"/>
      <c r="C22" s="39"/>
      <c r="D22" s="18"/>
      <c r="E22" s="136"/>
      <c r="F22" s="309"/>
      <c r="G22" s="309"/>
      <c r="H22" s="309"/>
      <c r="I22" s="6"/>
      <c r="J22" s="6"/>
      <c r="K22" s="40"/>
    </row>
    <row r="23" spans="2:11" s="3" customFormat="1" ht="10.15" customHeight="1" thickBot="1" x14ac:dyDescent="0.3">
      <c r="B23" s="38"/>
      <c r="C23" s="39"/>
      <c r="D23" s="18"/>
      <c r="E23" s="136"/>
      <c r="F23" s="19"/>
      <c r="G23" s="19"/>
      <c r="H23" s="19"/>
      <c r="I23" s="6"/>
      <c r="J23" s="6"/>
      <c r="K23" s="40"/>
    </row>
    <row r="24" spans="2:11" s="3" customFormat="1" ht="25.15" customHeight="1" thickBot="1" x14ac:dyDescent="0.3">
      <c r="B24" s="38"/>
      <c r="C24" s="39"/>
      <c r="D24" s="18"/>
      <c r="E24" s="136"/>
      <c r="F24" s="21">
        <f>(Qn!F12*t!H12)</f>
        <v>360</v>
      </c>
      <c r="G24" s="136" t="s">
        <v>2</v>
      </c>
      <c r="H24" s="20">
        <f>+(1-'CAPM-WACC'!C24)-('CAPM-WACC'!J46*'CAPM-WACC'!C24)</f>
        <v>0.62048904063154453</v>
      </c>
      <c r="I24" s="6"/>
      <c r="J24" s="6"/>
      <c r="K24" s="40"/>
    </row>
    <row r="25" spans="2:11" s="3" customFormat="1" ht="10.15" customHeight="1" x14ac:dyDescent="0.25">
      <c r="B25" s="38"/>
      <c r="C25" s="39"/>
      <c r="D25" s="18"/>
      <c r="E25" s="136"/>
      <c r="F25" s="19"/>
      <c r="G25" s="136"/>
      <c r="H25" s="137"/>
      <c r="I25" s="6"/>
      <c r="J25" s="6"/>
      <c r="K25" s="40"/>
    </row>
    <row r="26" spans="2:11" s="3" customFormat="1" ht="17.45" customHeight="1" x14ac:dyDescent="0.25">
      <c r="B26" s="38"/>
      <c r="C26" s="39"/>
      <c r="D26" s="4"/>
      <c r="E26" s="5"/>
      <c r="F26" s="6"/>
      <c r="G26" s="5"/>
      <c r="H26" s="138"/>
      <c r="I26" s="6"/>
      <c r="J26" s="6"/>
      <c r="K26" s="40"/>
    </row>
    <row r="27" spans="2:11" s="8" customFormat="1" ht="22.9" customHeight="1" x14ac:dyDescent="0.3">
      <c r="B27" s="41" t="s">
        <v>195</v>
      </c>
      <c r="C27" s="139"/>
      <c r="D27" s="139"/>
      <c r="F27" s="310">
        <f>+(F21*H21)/(F24*H24)</f>
        <v>6422.1361094676504</v>
      </c>
      <c r="G27" s="311"/>
      <c r="H27" s="139"/>
      <c r="I27" s="139"/>
      <c r="J27" s="42"/>
      <c r="K27" s="43"/>
    </row>
    <row r="28" spans="2:11" x14ac:dyDescent="0.25">
      <c r="B28" s="44"/>
      <c r="C28" s="45"/>
      <c r="D28" s="45"/>
      <c r="E28" s="45"/>
      <c r="F28" s="45"/>
      <c r="G28" s="45"/>
      <c r="H28" s="45"/>
      <c r="I28" s="45"/>
      <c r="J28" s="45"/>
      <c r="K28" s="46"/>
    </row>
    <row r="29" spans="2:11" x14ac:dyDescent="0.25">
      <c r="E29" s="9"/>
    </row>
  </sheetData>
  <mergeCells count="10">
    <mergeCell ref="F22:H22"/>
    <mergeCell ref="F27:G27"/>
    <mergeCell ref="D8:K10"/>
    <mergeCell ref="D11:K13"/>
    <mergeCell ref="B6:K6"/>
    <mergeCell ref="B2:K2"/>
    <mergeCell ref="B3:K3"/>
    <mergeCell ref="B4:K4"/>
    <mergeCell ref="B17:C17"/>
    <mergeCell ref="B8:C13"/>
  </mergeCells>
  <printOptions horizontalCentered="1"/>
  <pageMargins left="0.70866141732283472" right="0.70866141732283472" top="0.74803149606299213" bottom="0.74803149606299213" header="0.31496062992125984" footer="0.31496062992125984"/>
  <pageSetup scale="6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1"/>
    <pageSetUpPr fitToPage="1"/>
  </sheetPr>
  <dimension ref="A1:I17"/>
  <sheetViews>
    <sheetView showGridLines="0" zoomScaleNormal="100" zoomScaleSheetLayoutView="100" workbookViewId="0">
      <selection activeCell="G24" sqref="G24"/>
    </sheetView>
  </sheetViews>
  <sheetFormatPr baseColWidth="10" defaultColWidth="11.5703125" defaultRowHeight="15.75" x14ac:dyDescent="0.25"/>
  <cols>
    <col min="1" max="1" width="2.85546875" style="27" customWidth="1"/>
    <col min="2" max="2" width="52.7109375" style="27" customWidth="1"/>
    <col min="3" max="3" width="17.7109375" style="28" customWidth="1"/>
    <col min="4" max="4" width="12.5703125" style="29" bestFit="1" customWidth="1"/>
    <col min="5" max="16384" width="11.5703125" style="27"/>
  </cols>
  <sheetData>
    <row r="1" spans="1:6" ht="16.5" thickBot="1" x14ac:dyDescent="0.3"/>
    <row r="2" spans="1:6" ht="18.75" x14ac:dyDescent="0.25">
      <c r="B2" s="321"/>
      <c r="C2" s="322"/>
    </row>
    <row r="3" spans="1:6" ht="18.75" x14ac:dyDescent="0.25">
      <c r="B3" s="328" t="s">
        <v>189</v>
      </c>
      <c r="C3" s="329"/>
    </row>
    <row r="4" spans="1:6" ht="30" customHeight="1" thickBot="1" x14ac:dyDescent="0.3">
      <c r="B4" s="323" t="str">
        <f>+Qn!B4</f>
        <v>Costos administativos para el TCU</v>
      </c>
      <c r="C4" s="324"/>
    </row>
    <row r="5" spans="1:6" ht="7.5" customHeight="1" x14ac:dyDescent="0.25"/>
    <row r="6" spans="1:6" x14ac:dyDescent="0.25">
      <c r="B6" s="25" t="s">
        <v>1</v>
      </c>
      <c r="C6" s="26" t="s">
        <v>24</v>
      </c>
    </row>
    <row r="7" spans="1:6" x14ac:dyDescent="0.25">
      <c r="B7" s="327" t="s">
        <v>175</v>
      </c>
      <c r="C7" s="327"/>
    </row>
    <row r="8" spans="1:6" x14ac:dyDescent="0.25">
      <c r="B8" s="30" t="s">
        <v>0</v>
      </c>
      <c r="C8" s="31">
        <f>+'Calculo de Costo'!F27</f>
        <v>6422.1361094676504</v>
      </c>
      <c r="D8" s="28"/>
      <c r="E8" s="32"/>
      <c r="F8" s="32"/>
    </row>
    <row r="9" spans="1:6" ht="16.5" thickBot="1" x14ac:dyDescent="0.3">
      <c r="A9" s="33"/>
      <c r="B9" s="34"/>
      <c r="C9" s="35"/>
    </row>
    <row r="10" spans="1:6" ht="23.45" customHeight="1" thickBot="1" x14ac:dyDescent="0.3">
      <c r="B10" s="325" t="s">
        <v>124</v>
      </c>
      <c r="C10" s="326"/>
    </row>
    <row r="17" spans="9:9" x14ac:dyDescent="0.25">
      <c r="I17" s="89"/>
    </row>
  </sheetData>
  <mergeCells count="5">
    <mergeCell ref="B2:C2"/>
    <mergeCell ref="B4:C4"/>
    <mergeCell ref="B10:C10"/>
    <mergeCell ref="B7:C7"/>
    <mergeCell ref="B3:C3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1"/>
    <pageSetUpPr fitToPage="1"/>
  </sheetPr>
  <dimension ref="B1:E18"/>
  <sheetViews>
    <sheetView showGridLines="0" tabSelected="1" zoomScaleNormal="100" zoomScaleSheetLayoutView="100" workbookViewId="0">
      <selection activeCell="E16" sqref="E16"/>
    </sheetView>
  </sheetViews>
  <sheetFormatPr baseColWidth="10" defaultColWidth="11.5703125" defaultRowHeight="15" x14ac:dyDescent="0.25"/>
  <cols>
    <col min="1" max="1" width="2.85546875" style="1" customWidth="1"/>
    <col min="2" max="2" width="6.5703125" style="1" customWidth="1"/>
    <col min="3" max="3" width="38" style="1" customWidth="1"/>
    <col min="4" max="4" width="13" style="1" customWidth="1"/>
    <col min="5" max="5" width="67.7109375" style="1" customWidth="1"/>
    <col min="6" max="16384" width="11.5703125" style="1"/>
  </cols>
  <sheetData>
    <row r="1" spans="2:5" ht="15.75" thickBot="1" x14ac:dyDescent="0.3"/>
    <row r="2" spans="2:5" ht="18.75" x14ac:dyDescent="0.3">
      <c r="B2" s="296" t="s">
        <v>155</v>
      </c>
      <c r="C2" s="297"/>
      <c r="D2" s="297"/>
      <c r="E2" s="298"/>
    </row>
    <row r="3" spans="2:5" ht="18.75" x14ac:dyDescent="0.3">
      <c r="B3" s="299" t="s">
        <v>122</v>
      </c>
      <c r="C3" s="300"/>
      <c r="D3" s="300"/>
      <c r="E3" s="301"/>
    </row>
    <row r="4" spans="2:5" ht="15.75" thickBot="1" x14ac:dyDescent="0.3">
      <c r="B4" s="330" t="s">
        <v>123</v>
      </c>
      <c r="C4" s="331"/>
      <c r="D4" s="331"/>
      <c r="E4" s="332"/>
    </row>
    <row r="5" spans="2:5" ht="7.5" customHeight="1" x14ac:dyDescent="0.25"/>
    <row r="6" spans="2:5" ht="15.75" x14ac:dyDescent="0.25">
      <c r="B6" s="336" t="s">
        <v>3</v>
      </c>
      <c r="C6" s="336"/>
      <c r="D6" s="25" t="s">
        <v>19</v>
      </c>
      <c r="E6" s="25" t="s">
        <v>4</v>
      </c>
    </row>
    <row r="7" spans="2:5" ht="15.75" x14ac:dyDescent="0.25">
      <c r="B7" s="214">
        <v>1</v>
      </c>
      <c r="C7" s="10" t="s">
        <v>190</v>
      </c>
      <c r="D7" s="10" t="s">
        <v>191</v>
      </c>
      <c r="E7" s="10" t="s">
        <v>192</v>
      </c>
    </row>
    <row r="8" spans="2:5" ht="15.75" x14ac:dyDescent="0.25">
      <c r="B8" s="214">
        <v>2</v>
      </c>
      <c r="C8" s="10" t="s">
        <v>5</v>
      </c>
      <c r="D8" s="10" t="s">
        <v>22</v>
      </c>
      <c r="E8" s="10" t="s">
        <v>6</v>
      </c>
    </row>
    <row r="9" spans="2:5" ht="15.75" x14ac:dyDescent="0.25">
      <c r="B9" s="214">
        <v>3</v>
      </c>
      <c r="C9" s="10" t="s">
        <v>20</v>
      </c>
      <c r="D9" s="10" t="s">
        <v>21</v>
      </c>
      <c r="E9" s="10" t="s">
        <v>192</v>
      </c>
    </row>
    <row r="10" spans="2:5" ht="16.5" customHeight="1" x14ac:dyDescent="0.25">
      <c r="B10" s="214">
        <v>4</v>
      </c>
      <c r="C10" s="10" t="s">
        <v>142</v>
      </c>
      <c r="D10" s="10" t="s">
        <v>141</v>
      </c>
      <c r="E10" s="10" t="s">
        <v>6</v>
      </c>
    </row>
    <row r="11" spans="2:5" ht="15.75" x14ac:dyDescent="0.25">
      <c r="B11" s="214">
        <v>5</v>
      </c>
      <c r="C11" s="10" t="s">
        <v>143</v>
      </c>
      <c r="D11" s="10" t="s">
        <v>109</v>
      </c>
      <c r="E11" s="10" t="s">
        <v>6</v>
      </c>
    </row>
    <row r="12" spans="2:5" ht="15.75" x14ac:dyDescent="0.25">
      <c r="B12" s="214">
        <v>6</v>
      </c>
      <c r="C12" s="10" t="s">
        <v>144</v>
      </c>
      <c r="D12" s="10" t="s">
        <v>50</v>
      </c>
      <c r="E12" s="10" t="s">
        <v>48</v>
      </c>
    </row>
    <row r="13" spans="2:5" ht="15.75" x14ac:dyDescent="0.25">
      <c r="B13" s="214">
        <v>7</v>
      </c>
      <c r="C13" s="10" t="s">
        <v>33</v>
      </c>
      <c r="D13" s="10" t="s">
        <v>51</v>
      </c>
      <c r="E13" s="10" t="s">
        <v>48</v>
      </c>
    </row>
    <row r="14" spans="2:5" ht="15.75" x14ac:dyDescent="0.25">
      <c r="B14" s="214">
        <v>8</v>
      </c>
      <c r="C14" s="10" t="s">
        <v>151</v>
      </c>
      <c r="D14" s="10" t="s">
        <v>152</v>
      </c>
      <c r="E14" s="10" t="s">
        <v>48</v>
      </c>
    </row>
    <row r="15" spans="2:5" ht="15.75" x14ac:dyDescent="0.25">
      <c r="B15" s="214">
        <v>9</v>
      </c>
      <c r="C15" s="24" t="s">
        <v>49</v>
      </c>
      <c r="D15" s="24" t="s">
        <v>140</v>
      </c>
      <c r="E15" s="24" t="s">
        <v>48</v>
      </c>
    </row>
    <row r="16" spans="2:5" ht="15.75" x14ac:dyDescent="0.25">
      <c r="B16" s="214">
        <v>10</v>
      </c>
      <c r="C16" s="24" t="s">
        <v>185</v>
      </c>
      <c r="D16" s="24" t="s">
        <v>145</v>
      </c>
      <c r="E16" s="10" t="s">
        <v>192</v>
      </c>
    </row>
    <row r="17" spans="2:5" ht="15.75" thickBot="1" x14ac:dyDescent="0.3"/>
    <row r="18" spans="2:5" ht="16.5" thickBot="1" x14ac:dyDescent="0.3">
      <c r="B18" s="333" t="s">
        <v>126</v>
      </c>
      <c r="C18" s="334"/>
      <c r="D18" s="334"/>
      <c r="E18" s="335"/>
    </row>
  </sheetData>
  <mergeCells count="5">
    <mergeCell ref="B2:E2"/>
    <mergeCell ref="B3:E3"/>
    <mergeCell ref="B4:E4"/>
    <mergeCell ref="B18:E18"/>
    <mergeCell ref="B6:C6"/>
  </mergeCells>
  <printOptions horizontalCentered="1"/>
  <pageMargins left="0.7" right="0.7" top="0.75" bottom="0.75" header="0.3" footer="0.3"/>
  <pageSetup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B1:J54"/>
  <sheetViews>
    <sheetView showGridLines="0" zoomScale="85" zoomScaleNormal="85" zoomScaleSheetLayoutView="80" workbookViewId="0">
      <selection activeCell="D50" sqref="D50"/>
    </sheetView>
  </sheetViews>
  <sheetFormatPr baseColWidth="10" defaultColWidth="11.42578125" defaultRowHeight="14.25" x14ac:dyDescent="0.2"/>
  <cols>
    <col min="1" max="1" width="4.28515625" style="140" customWidth="1"/>
    <col min="2" max="2" width="73.42578125" style="140" customWidth="1"/>
    <col min="3" max="3" width="21.5703125" style="140" customWidth="1"/>
    <col min="4" max="4" width="8.85546875" style="140" bestFit="1" customWidth="1"/>
    <col min="5" max="5" width="16.28515625" style="141" customWidth="1"/>
    <col min="6" max="6" width="15.140625" style="140" customWidth="1"/>
    <col min="7" max="7" width="6.7109375" style="140" customWidth="1"/>
    <col min="8" max="8" width="15.7109375" style="140" customWidth="1"/>
    <col min="9" max="9" width="13.85546875" style="140" bestFit="1" customWidth="1"/>
    <col min="10" max="10" width="12.7109375" style="140" bestFit="1" customWidth="1"/>
    <col min="11" max="16384" width="11.42578125" style="140"/>
  </cols>
  <sheetData>
    <row r="1" spans="2:10" ht="10.5" customHeight="1" x14ac:dyDescent="0.2"/>
    <row r="2" spans="2:10" s="142" customFormat="1" ht="22.5" hidden="1" x14ac:dyDescent="0.3">
      <c r="C2" s="143"/>
      <c r="D2" s="144"/>
      <c r="G2" s="140"/>
      <c r="H2" s="140"/>
    </row>
    <row r="3" spans="2:10" s="142" customFormat="1" x14ac:dyDescent="0.2">
      <c r="C3" s="143"/>
      <c r="G3" s="140"/>
      <c r="H3" s="140"/>
    </row>
    <row r="4" spans="2:10" s="142" customFormat="1" ht="22.5" x14ac:dyDescent="0.3">
      <c r="B4" s="238" t="s">
        <v>130</v>
      </c>
      <c r="C4" s="238"/>
      <c r="D4" s="238"/>
      <c r="E4" s="238"/>
      <c r="F4" s="238"/>
      <c r="G4" s="238"/>
      <c r="H4" s="238"/>
      <c r="I4" s="238"/>
      <c r="J4" s="238"/>
    </row>
    <row r="5" spans="2:10" s="142" customFormat="1" ht="12.75" x14ac:dyDescent="0.2">
      <c r="C5" s="143"/>
      <c r="G5" s="146"/>
    </row>
    <row r="6" spans="2:10" s="142" customFormat="1" ht="13.5" thickBot="1" x14ac:dyDescent="0.25">
      <c r="E6" s="147"/>
    </row>
    <row r="7" spans="2:10" s="142" customFormat="1" x14ac:dyDescent="0.2">
      <c r="B7" s="239" t="s">
        <v>62</v>
      </c>
      <c r="C7" s="240"/>
      <c r="D7" s="240"/>
      <c r="E7" s="148">
        <v>2022</v>
      </c>
      <c r="F7" s="149"/>
      <c r="G7" s="149"/>
      <c r="H7" s="150"/>
      <c r="I7" s="149"/>
      <c r="J7" s="151"/>
    </row>
    <row r="8" spans="2:10" s="142" customFormat="1" x14ac:dyDescent="0.2">
      <c r="B8" s="236" t="s">
        <v>63</v>
      </c>
      <c r="C8" s="237"/>
      <c r="D8" s="237"/>
      <c r="E8" s="154">
        <v>0.1182</v>
      </c>
      <c r="F8" s="155" t="s">
        <v>64</v>
      </c>
      <c r="G8" s="142" t="s">
        <v>83</v>
      </c>
      <c r="H8" s="155"/>
      <c r="J8" s="156"/>
    </row>
    <row r="9" spans="2:10" x14ac:dyDescent="0.2">
      <c r="B9" s="236" t="s">
        <v>65</v>
      </c>
      <c r="C9" s="237"/>
      <c r="D9" s="237"/>
      <c r="E9" s="154">
        <v>8.6900000000000005E-2</v>
      </c>
      <c r="F9" s="157" t="s">
        <v>66</v>
      </c>
      <c r="G9" s="142" t="s">
        <v>83</v>
      </c>
      <c r="H9" s="155"/>
      <c r="J9" s="158"/>
    </row>
    <row r="10" spans="2:10" x14ac:dyDescent="0.2">
      <c r="B10" s="236" t="s">
        <v>67</v>
      </c>
      <c r="C10" s="237"/>
      <c r="D10" s="237"/>
      <c r="E10" s="154">
        <v>3.78E-2</v>
      </c>
      <c r="F10" s="155" t="s">
        <v>68</v>
      </c>
      <c r="G10" s="142" t="s">
        <v>83</v>
      </c>
      <c r="H10" s="155"/>
      <c r="J10" s="158"/>
    </row>
    <row r="11" spans="2:10" x14ac:dyDescent="0.2">
      <c r="B11" s="236" t="s">
        <v>54</v>
      </c>
      <c r="C11" s="237"/>
      <c r="D11" s="237"/>
      <c r="E11" s="159">
        <f>E9-E10</f>
        <v>4.9100000000000005E-2</v>
      </c>
      <c r="F11" s="155" t="s">
        <v>69</v>
      </c>
      <c r="G11" s="155" t="s">
        <v>70</v>
      </c>
      <c r="H11" s="155"/>
      <c r="J11" s="158"/>
    </row>
    <row r="12" spans="2:10" x14ac:dyDescent="0.2">
      <c r="B12" s="236" t="s">
        <v>55</v>
      </c>
      <c r="C12" s="237"/>
      <c r="D12" s="237"/>
      <c r="E12" s="159">
        <f>E8-E10</f>
        <v>8.0399999999999999E-2</v>
      </c>
      <c r="F12" s="155" t="s">
        <v>71</v>
      </c>
      <c r="G12" s="155" t="s">
        <v>72</v>
      </c>
      <c r="H12" s="155"/>
      <c r="J12" s="158"/>
    </row>
    <row r="13" spans="2:10" x14ac:dyDescent="0.2">
      <c r="B13" s="236" t="s">
        <v>56</v>
      </c>
      <c r="C13" s="237"/>
      <c r="D13" s="237"/>
      <c r="E13" s="160">
        <f>((E12*C25)-E12)</f>
        <v>8.5949373881109292E-3</v>
      </c>
      <c r="F13" s="155" t="s">
        <v>73</v>
      </c>
      <c r="G13" s="155" t="s">
        <v>74</v>
      </c>
      <c r="H13" s="155"/>
      <c r="J13" s="158"/>
    </row>
    <row r="14" spans="2:10" x14ac:dyDescent="0.2">
      <c r="B14" s="236" t="s">
        <v>57</v>
      </c>
      <c r="C14" s="237"/>
      <c r="D14" s="237"/>
      <c r="E14" s="159">
        <f>+E10+E11+E12+E13</f>
        <v>0.17589493738811093</v>
      </c>
      <c r="F14" s="155" t="s">
        <v>75</v>
      </c>
      <c r="G14" s="155" t="s">
        <v>76</v>
      </c>
      <c r="H14" s="155"/>
      <c r="J14" s="158"/>
    </row>
    <row r="15" spans="2:10" x14ac:dyDescent="0.2">
      <c r="B15" s="236" t="s">
        <v>58</v>
      </c>
      <c r="C15" s="237"/>
      <c r="D15" s="237"/>
      <c r="E15" s="161"/>
      <c r="F15" s="142"/>
      <c r="G15" s="142"/>
      <c r="H15" s="155"/>
      <c r="J15" s="158"/>
    </row>
    <row r="16" spans="2:10" x14ac:dyDescent="0.2">
      <c r="B16" s="236" t="s">
        <v>77</v>
      </c>
      <c r="C16" s="237"/>
      <c r="D16" s="237"/>
      <c r="E16" s="160">
        <f>((((1+E14)*C35)-1)-E14)</f>
        <v>2.3583105491055106E-2</v>
      </c>
      <c r="F16" s="155" t="s">
        <v>78</v>
      </c>
      <c r="G16" s="243" t="s">
        <v>79</v>
      </c>
      <c r="H16" s="243"/>
      <c r="J16" s="158"/>
    </row>
    <row r="17" spans="2:10" x14ac:dyDescent="0.2">
      <c r="B17" s="244" t="s">
        <v>59</v>
      </c>
      <c r="C17" s="245"/>
      <c r="D17" s="245"/>
      <c r="E17" s="159">
        <f>+E14+E16</f>
        <v>0.19947804287916604</v>
      </c>
      <c r="F17" s="155" t="s">
        <v>80</v>
      </c>
      <c r="G17" s="155" t="s">
        <v>81</v>
      </c>
      <c r="H17" s="155"/>
      <c r="J17" s="158"/>
    </row>
    <row r="18" spans="2:10" x14ac:dyDescent="0.2">
      <c r="B18" s="236" t="s">
        <v>60</v>
      </c>
      <c r="C18" s="237"/>
      <c r="D18" s="237"/>
      <c r="E18" s="154">
        <v>7.3499999999999996E-2</v>
      </c>
      <c r="F18" s="157" t="s">
        <v>82</v>
      </c>
      <c r="G18" s="142" t="s">
        <v>83</v>
      </c>
      <c r="H18" s="155"/>
      <c r="J18" s="158"/>
    </row>
    <row r="19" spans="2:10" ht="18" x14ac:dyDescent="0.2">
      <c r="B19" s="244" t="s">
        <v>84</v>
      </c>
      <c r="C19" s="245"/>
      <c r="D19" s="245"/>
      <c r="E19" s="162">
        <f>((1+E17)*(1+E18))-1</f>
        <v>0.28763967903078469</v>
      </c>
      <c r="F19" s="155" t="s">
        <v>85</v>
      </c>
      <c r="G19" s="155" t="s">
        <v>86</v>
      </c>
      <c r="H19" s="155"/>
      <c r="J19" s="158"/>
    </row>
    <row r="20" spans="2:10" x14ac:dyDescent="0.2">
      <c r="B20" s="152"/>
      <c r="C20" s="142"/>
      <c r="D20" s="142"/>
      <c r="E20" s="163"/>
      <c r="F20" s="142"/>
      <c r="G20" s="142"/>
      <c r="H20" s="155"/>
      <c r="J20" s="158"/>
    </row>
    <row r="21" spans="2:10" x14ac:dyDescent="0.2">
      <c r="B21" s="164" t="s">
        <v>87</v>
      </c>
      <c r="C21" s="142"/>
      <c r="D21" s="142"/>
      <c r="E21" s="163"/>
      <c r="F21" s="142"/>
      <c r="G21" s="142"/>
      <c r="H21" s="155"/>
      <c r="J21" s="158"/>
    </row>
    <row r="22" spans="2:10" x14ac:dyDescent="0.2">
      <c r="B22" s="152" t="s">
        <v>88</v>
      </c>
      <c r="C22" s="165">
        <v>1.1032999999999999</v>
      </c>
      <c r="D22" s="153" t="s">
        <v>89</v>
      </c>
      <c r="E22" s="142" t="s">
        <v>83</v>
      </c>
      <c r="F22" s="142"/>
      <c r="G22" s="142"/>
      <c r="H22" s="155"/>
      <c r="J22" s="158"/>
    </row>
    <row r="23" spans="2:10" x14ac:dyDescent="0.2">
      <c r="B23" s="152" t="s">
        <v>42</v>
      </c>
      <c r="C23" s="160">
        <f>+C30</f>
        <v>4.6641974333980086E-3</v>
      </c>
      <c r="D23" s="153" t="s">
        <v>90</v>
      </c>
      <c r="E23" s="163" t="s">
        <v>154</v>
      </c>
      <c r="F23" s="142"/>
      <c r="G23" s="142"/>
      <c r="H23" s="155"/>
      <c r="J23" s="158"/>
    </row>
    <row r="24" spans="2:10" x14ac:dyDescent="0.2">
      <c r="B24" s="152" t="s">
        <v>91</v>
      </c>
      <c r="C24" s="166">
        <v>0.3</v>
      </c>
      <c r="D24" s="153" t="s">
        <v>92</v>
      </c>
      <c r="E24" s="142" t="s">
        <v>83</v>
      </c>
      <c r="F24" s="142"/>
      <c r="G24" s="142"/>
      <c r="H24" s="155"/>
      <c r="J24" s="158"/>
    </row>
    <row r="25" spans="2:10" ht="18" x14ac:dyDescent="0.25">
      <c r="B25" s="167" t="s">
        <v>93</v>
      </c>
      <c r="C25" s="168">
        <f>+(C22*(1+(C23*(1-C24))))</f>
        <v>1.1069022063197878</v>
      </c>
      <c r="D25" s="169" t="s">
        <v>94</v>
      </c>
      <c r="E25" s="237" t="s">
        <v>95</v>
      </c>
      <c r="F25" s="237"/>
      <c r="G25" s="142"/>
      <c r="H25" s="155"/>
      <c r="J25" s="158"/>
    </row>
    <row r="26" spans="2:10" x14ac:dyDescent="0.2">
      <c r="B26" s="152"/>
      <c r="C26" s="142"/>
      <c r="D26" s="142"/>
      <c r="E26" s="163"/>
      <c r="F26" s="142"/>
      <c r="G26" s="142"/>
      <c r="H26" s="155"/>
      <c r="J26" s="158"/>
    </row>
    <row r="27" spans="2:10" x14ac:dyDescent="0.2">
      <c r="B27" s="164" t="s">
        <v>131</v>
      </c>
      <c r="C27" s="142"/>
      <c r="D27" s="142"/>
      <c r="E27" s="163"/>
      <c r="F27" s="142"/>
      <c r="G27" s="142"/>
      <c r="H27" s="155"/>
      <c r="J27" s="158"/>
    </row>
    <row r="28" spans="2:10" x14ac:dyDescent="0.2">
      <c r="B28" s="152" t="s">
        <v>153</v>
      </c>
      <c r="C28" s="170">
        <f>+Pt!G28</f>
        <v>82673937.675565004</v>
      </c>
      <c r="D28" s="153" t="s">
        <v>97</v>
      </c>
      <c r="E28" s="163" t="s">
        <v>150</v>
      </c>
      <c r="F28" s="142"/>
      <c r="G28" s="142"/>
      <c r="H28" s="155"/>
      <c r="J28" s="158"/>
    </row>
    <row r="29" spans="2:10" x14ac:dyDescent="0.2">
      <c r="B29" s="152" t="s">
        <v>33</v>
      </c>
      <c r="C29" s="170">
        <f>C45</f>
        <v>17725222582.470001</v>
      </c>
      <c r="D29" s="153" t="s">
        <v>98</v>
      </c>
      <c r="E29" s="163" t="s">
        <v>132</v>
      </c>
      <c r="F29" s="142"/>
      <c r="G29" s="142"/>
      <c r="H29" s="155"/>
      <c r="J29" s="158"/>
    </row>
    <row r="30" spans="2:10" ht="18" x14ac:dyDescent="0.25">
      <c r="B30" s="167" t="s">
        <v>96</v>
      </c>
      <c r="C30" s="171">
        <f>+C28/C29</f>
        <v>4.6641974333980086E-3</v>
      </c>
      <c r="D30" s="153" t="s">
        <v>16</v>
      </c>
      <c r="E30" s="172" t="s">
        <v>99</v>
      </c>
      <c r="F30" s="142"/>
      <c r="G30" s="142"/>
      <c r="H30" s="155"/>
      <c r="J30" s="158"/>
    </row>
    <row r="31" spans="2:10" x14ac:dyDescent="0.2">
      <c r="B31" s="152"/>
      <c r="C31" s="142"/>
      <c r="D31" s="142"/>
      <c r="E31" s="163"/>
      <c r="F31" s="142"/>
      <c r="G31" s="142"/>
      <c r="H31" s="155"/>
      <c r="J31" s="158"/>
    </row>
    <row r="32" spans="2:10" x14ac:dyDescent="0.2">
      <c r="B32" s="164" t="s">
        <v>100</v>
      </c>
      <c r="C32" s="245" t="s">
        <v>101</v>
      </c>
      <c r="D32" s="245"/>
      <c r="E32" s="163"/>
      <c r="F32" s="142"/>
      <c r="G32" s="142"/>
      <c r="H32" s="155"/>
      <c r="J32" s="158"/>
    </row>
    <row r="33" spans="2:10" x14ac:dyDescent="0.2">
      <c r="B33" s="152" t="s">
        <v>102</v>
      </c>
      <c r="C33" s="173">
        <v>0.1037</v>
      </c>
      <c r="D33" s="153" t="s">
        <v>103</v>
      </c>
      <c r="E33" s="142" t="s">
        <v>83</v>
      </c>
      <c r="G33" s="142"/>
      <c r="H33" s="155"/>
      <c r="J33" s="158"/>
    </row>
    <row r="34" spans="2:10" x14ac:dyDescent="0.2">
      <c r="B34" s="152" t="s">
        <v>104</v>
      </c>
      <c r="C34" s="173">
        <v>8.2000000000000003E-2</v>
      </c>
      <c r="D34" s="153" t="s">
        <v>105</v>
      </c>
      <c r="E34" s="142" t="s">
        <v>83</v>
      </c>
      <c r="G34" s="142"/>
      <c r="H34" s="155"/>
      <c r="J34" s="158"/>
    </row>
    <row r="35" spans="2:10" ht="18" x14ac:dyDescent="0.2">
      <c r="B35" s="167" t="s">
        <v>106</v>
      </c>
      <c r="C35" s="174">
        <f>(1+C33)/(1+C34)</f>
        <v>1.0200554528650645</v>
      </c>
      <c r="D35" s="169" t="s">
        <v>107</v>
      </c>
      <c r="E35" s="172" t="s">
        <v>108</v>
      </c>
      <c r="F35" s="142"/>
      <c r="G35" s="142"/>
      <c r="H35" s="155"/>
      <c r="J35" s="158"/>
    </row>
    <row r="36" spans="2:10" x14ac:dyDescent="0.2">
      <c r="B36" s="152"/>
      <c r="C36" s="142"/>
      <c r="D36" s="142"/>
      <c r="E36" s="163"/>
      <c r="F36" s="142"/>
      <c r="G36" s="142"/>
      <c r="H36" s="155"/>
      <c r="J36" s="158"/>
    </row>
    <row r="37" spans="2:10" x14ac:dyDescent="0.2">
      <c r="B37" s="175"/>
      <c r="C37" s="142"/>
      <c r="D37" s="142"/>
      <c r="E37" s="163"/>
      <c r="F37" s="142"/>
      <c r="G37" s="142"/>
      <c r="H37" s="155"/>
      <c r="J37" s="158"/>
    </row>
    <row r="38" spans="2:10" ht="15" thickBot="1" x14ac:dyDescent="0.25">
      <c r="B38" s="176"/>
      <c r="C38" s="177"/>
      <c r="D38" s="177"/>
      <c r="E38" s="178"/>
      <c r="F38" s="177"/>
      <c r="G38" s="177"/>
      <c r="H38" s="179"/>
      <c r="I38" s="180"/>
      <c r="J38" s="181"/>
    </row>
    <row r="39" spans="2:10" ht="15" thickBot="1" x14ac:dyDescent="0.25">
      <c r="B39" s="155"/>
      <c r="C39" s="142"/>
      <c r="D39" s="142"/>
      <c r="E39" s="163"/>
      <c r="F39" s="142"/>
      <c r="G39" s="142"/>
      <c r="H39" s="155"/>
    </row>
    <row r="40" spans="2:10" x14ac:dyDescent="0.2">
      <c r="B40" s="182"/>
      <c r="C40" s="149"/>
      <c r="D40" s="149"/>
      <c r="E40" s="183"/>
      <c r="F40" s="149"/>
      <c r="G40" s="149"/>
      <c r="H40" s="150"/>
      <c r="I40" s="184"/>
      <c r="J40" s="185"/>
    </row>
    <row r="41" spans="2:10" ht="22.5" x14ac:dyDescent="0.3">
      <c r="B41" s="241" t="s">
        <v>133</v>
      </c>
      <c r="C41" s="238"/>
      <c r="D41" s="238"/>
      <c r="E41" s="238"/>
      <c r="F41" s="238"/>
      <c r="G41" s="238"/>
      <c r="H41" s="238"/>
      <c r="I41" s="238"/>
      <c r="J41" s="242"/>
    </row>
    <row r="42" spans="2:10" ht="23.25" thickBot="1" x14ac:dyDescent="0.35">
      <c r="B42" s="186"/>
      <c r="C42" s="145"/>
      <c r="D42" s="145"/>
      <c r="E42" s="145"/>
      <c r="F42" s="145"/>
      <c r="G42" s="145"/>
      <c r="H42" s="145"/>
      <c r="I42" s="145"/>
      <c r="J42" s="187"/>
    </row>
    <row r="43" spans="2:10" ht="15" thickBot="1" x14ac:dyDescent="0.25">
      <c r="B43" s="188" t="s">
        <v>110</v>
      </c>
      <c r="C43" s="189" t="s">
        <v>111</v>
      </c>
      <c r="D43" s="189" t="s">
        <v>112</v>
      </c>
      <c r="E43" s="190" t="s">
        <v>52</v>
      </c>
      <c r="F43" s="190" t="s">
        <v>113</v>
      </c>
      <c r="G43" s="190" t="s">
        <v>52</v>
      </c>
      <c r="H43" s="189" t="s">
        <v>18</v>
      </c>
      <c r="I43" s="190" t="s">
        <v>52</v>
      </c>
      <c r="J43" s="189" t="s">
        <v>18</v>
      </c>
    </row>
    <row r="44" spans="2:10" ht="15" thickBot="1" x14ac:dyDescent="0.25">
      <c r="B44" s="191" t="s">
        <v>114</v>
      </c>
      <c r="C44" s="192">
        <v>2361305611.3299999</v>
      </c>
      <c r="D44" s="193">
        <f>+C44/C46</f>
        <v>0.11755668219751639</v>
      </c>
      <c r="E44" s="194" t="s">
        <v>43</v>
      </c>
      <c r="F44" s="194">
        <f>+((C44/(C44+C45)))</f>
        <v>0.11755668219751639</v>
      </c>
      <c r="G44" s="194" t="s">
        <v>44</v>
      </c>
      <c r="H44" s="195">
        <f>+(D50*(1-30%))</f>
        <v>9.5365217213101122E-2</v>
      </c>
      <c r="I44" s="194" t="s">
        <v>118</v>
      </c>
      <c r="J44" s="195">
        <f>+H44*F44</f>
        <v>1.1210818532617649E-2</v>
      </c>
    </row>
    <row r="45" spans="2:10" ht="15" thickBot="1" x14ac:dyDescent="0.25">
      <c r="B45" s="176" t="s">
        <v>33</v>
      </c>
      <c r="C45" s="192">
        <v>17725222582.470001</v>
      </c>
      <c r="D45" s="196">
        <f>+C45/C46</f>
        <v>0.88244331780248353</v>
      </c>
      <c r="E45" s="196" t="s">
        <v>45</v>
      </c>
      <c r="F45" s="196">
        <f>((C45/(C44+C45)))</f>
        <v>0.88244331780248353</v>
      </c>
      <c r="G45" s="196" t="s">
        <v>46</v>
      </c>
      <c r="H45" s="197">
        <f>+E19</f>
        <v>0.28763967903078469</v>
      </c>
      <c r="I45" s="196" t="s">
        <v>119</v>
      </c>
      <c r="J45" s="197">
        <f>+H45*F45</f>
        <v>0.25382571269556709</v>
      </c>
    </row>
    <row r="46" spans="2:10" ht="20.25" x14ac:dyDescent="0.2">
      <c r="B46" s="198" t="s">
        <v>10</v>
      </c>
      <c r="C46" s="199">
        <f>SUM(C44:C45)</f>
        <v>20086528193.800003</v>
      </c>
      <c r="D46" s="142"/>
      <c r="E46" s="200"/>
      <c r="F46" s="163"/>
      <c r="G46" s="247" t="s">
        <v>109</v>
      </c>
      <c r="H46" s="247"/>
      <c r="I46" s="248"/>
      <c r="J46" s="201">
        <f>(F44*H44)+(F45*H45)</f>
        <v>0.26503653122818471</v>
      </c>
    </row>
    <row r="47" spans="2:10" ht="15" thickBot="1" x14ac:dyDescent="0.25">
      <c r="B47" s="176"/>
      <c r="C47" s="179"/>
      <c r="D47" s="179"/>
      <c r="E47" s="202"/>
      <c r="F47" s="179"/>
      <c r="G47" s="179"/>
      <c r="H47" s="202"/>
      <c r="I47" s="179"/>
      <c r="J47" s="203"/>
    </row>
    <row r="48" spans="2:10" x14ac:dyDescent="0.2">
      <c r="B48" s="204"/>
      <c r="E48" s="200"/>
      <c r="J48" s="158"/>
    </row>
    <row r="49" spans="2:10" x14ac:dyDescent="0.2">
      <c r="B49" s="249" t="s">
        <v>134</v>
      </c>
      <c r="C49" s="250"/>
      <c r="D49" s="205">
        <v>1.34E-2</v>
      </c>
      <c r="E49" s="206" t="s">
        <v>43</v>
      </c>
      <c r="F49" s="246" t="s">
        <v>135</v>
      </c>
      <c r="G49" s="246"/>
      <c r="H49" s="246"/>
      <c r="I49" s="246"/>
      <c r="J49" s="207">
        <f>+(C44/(C44+C45))</f>
        <v>0.11755668219751639</v>
      </c>
    </row>
    <row r="50" spans="2:10" x14ac:dyDescent="0.2">
      <c r="B50" s="249" t="s">
        <v>136</v>
      </c>
      <c r="C50" s="250"/>
      <c r="D50" s="205">
        <f>+Kd!F16</f>
        <v>0.13623602459014447</v>
      </c>
      <c r="E50" s="208" t="s">
        <v>44</v>
      </c>
      <c r="F50" s="246" t="s">
        <v>137</v>
      </c>
      <c r="G50" s="246"/>
      <c r="H50" s="246"/>
      <c r="I50" s="246"/>
      <c r="J50" s="207">
        <f>+(D50*(1-C24))</f>
        <v>9.5365217213101122E-2</v>
      </c>
    </row>
    <row r="51" spans="2:10" x14ac:dyDescent="0.2">
      <c r="B51" s="204"/>
      <c r="D51" s="209"/>
      <c r="E51" s="206" t="s">
        <v>45</v>
      </c>
      <c r="F51" s="246" t="s">
        <v>138</v>
      </c>
      <c r="G51" s="246"/>
      <c r="H51" s="246"/>
      <c r="I51" s="246"/>
      <c r="J51" s="207">
        <f>+(C45/(C44+C45))</f>
        <v>0.88244331780248353</v>
      </c>
    </row>
    <row r="52" spans="2:10" x14ac:dyDescent="0.2">
      <c r="B52" s="204"/>
      <c r="D52" s="209"/>
      <c r="E52" s="208" t="s">
        <v>46</v>
      </c>
      <c r="F52" s="246" t="s">
        <v>139</v>
      </c>
      <c r="G52" s="246"/>
      <c r="H52" s="246"/>
      <c r="I52" s="246"/>
      <c r="J52" s="207">
        <f>+E19</f>
        <v>0.28763967903078469</v>
      </c>
    </row>
    <row r="53" spans="2:10" ht="21" thickBot="1" x14ac:dyDescent="0.25">
      <c r="B53" s="204"/>
      <c r="E53" s="200"/>
      <c r="H53" s="210" t="s">
        <v>109</v>
      </c>
      <c r="J53" s="211">
        <f>+(J49*J50)+(J51*J52)</f>
        <v>0.26503653122818471</v>
      </c>
    </row>
    <row r="54" spans="2:10" ht="15" thickBot="1" x14ac:dyDescent="0.25">
      <c r="B54" s="212"/>
      <c r="C54" s="180"/>
      <c r="D54" s="180"/>
      <c r="E54" s="213"/>
      <c r="F54" s="180"/>
      <c r="G54" s="180"/>
      <c r="H54" s="180"/>
      <c r="I54" s="180"/>
      <c r="J54" s="181"/>
    </row>
  </sheetData>
  <mergeCells count="25">
    <mergeCell ref="F52:I52"/>
    <mergeCell ref="G46:I46"/>
    <mergeCell ref="B49:C49"/>
    <mergeCell ref="F49:I49"/>
    <mergeCell ref="B50:C50"/>
    <mergeCell ref="F50:I50"/>
    <mergeCell ref="F51:I51"/>
    <mergeCell ref="B41:J41"/>
    <mergeCell ref="B12:D12"/>
    <mergeCell ref="B13:D13"/>
    <mergeCell ref="B14:D14"/>
    <mergeCell ref="B15:D15"/>
    <mergeCell ref="B16:D16"/>
    <mergeCell ref="G16:H16"/>
    <mergeCell ref="B17:D17"/>
    <mergeCell ref="B18:D18"/>
    <mergeCell ref="B19:D19"/>
    <mergeCell ref="E25:F25"/>
    <mergeCell ref="C32:D32"/>
    <mergeCell ref="B11:D11"/>
    <mergeCell ref="B4:J4"/>
    <mergeCell ref="B7:D7"/>
    <mergeCell ref="B8:D8"/>
    <mergeCell ref="B9:D9"/>
    <mergeCell ref="B10:D10"/>
  </mergeCells>
  <pageMargins left="0.7" right="0.7" top="0.75" bottom="0.75" header="0.3" footer="0.3"/>
  <pageSetup scale="47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  <pageSetUpPr fitToPage="1"/>
  </sheetPr>
  <dimension ref="B2:H36"/>
  <sheetViews>
    <sheetView showGridLines="0" zoomScaleNormal="100" zoomScaleSheetLayoutView="100" workbookViewId="0">
      <selection activeCell="E11" sqref="E11"/>
    </sheetView>
  </sheetViews>
  <sheetFormatPr baseColWidth="10" defaultColWidth="11.5703125" defaultRowHeight="12.75" x14ac:dyDescent="0.2"/>
  <cols>
    <col min="1" max="1" width="2.85546875" style="12" customWidth="1"/>
    <col min="2" max="2" width="29.140625" style="12" customWidth="1"/>
    <col min="3" max="3" width="17.28515625" style="11" bestFit="1" customWidth="1"/>
    <col min="4" max="4" width="14.42578125" style="12" customWidth="1"/>
    <col min="5" max="5" width="18.28515625" style="12" bestFit="1" customWidth="1"/>
    <col min="6" max="16384" width="11.5703125" style="12"/>
  </cols>
  <sheetData>
    <row r="2" spans="2:8" ht="22.5" x14ac:dyDescent="0.3">
      <c r="B2" s="91" t="s">
        <v>7</v>
      </c>
      <c r="C2" s="92"/>
      <c r="D2" s="93"/>
      <c r="E2" s="94"/>
    </row>
    <row r="3" spans="2:8" x14ac:dyDescent="0.2">
      <c r="B3" s="50" t="str">
        <f>Adjuntos!B2</f>
        <v>UNIVERSIDAD XXX</v>
      </c>
      <c r="C3" s="51"/>
    </row>
    <row r="4" spans="2:8" x14ac:dyDescent="0.2">
      <c r="B4" s="50" t="s">
        <v>177</v>
      </c>
      <c r="C4" s="51"/>
    </row>
    <row r="5" spans="2:8" x14ac:dyDescent="0.2">
      <c r="B5" s="96" t="s">
        <v>8</v>
      </c>
      <c r="C5" s="51"/>
      <c r="D5" s="97"/>
    </row>
    <row r="6" spans="2:8" x14ac:dyDescent="0.2">
      <c r="B6" s="50"/>
      <c r="C6" s="51"/>
    </row>
    <row r="7" spans="2:8" s="14" customFormat="1" x14ac:dyDescent="0.2">
      <c r="B7" s="215" t="s">
        <v>9</v>
      </c>
      <c r="C7" s="98" t="s">
        <v>27</v>
      </c>
      <c r="D7" s="99"/>
      <c r="E7" s="99" t="s">
        <v>175</v>
      </c>
    </row>
    <row r="8" spans="2:8" x14ac:dyDescent="0.2">
      <c r="B8" s="47" t="s">
        <v>23</v>
      </c>
      <c r="C8" s="48"/>
      <c r="D8" s="15"/>
      <c r="E8" s="49">
        <v>1</v>
      </c>
    </row>
    <row r="9" spans="2:8" x14ac:dyDescent="0.2">
      <c r="B9" s="50"/>
      <c r="C9" s="51"/>
    </row>
    <row r="10" spans="2:8" x14ac:dyDescent="0.2">
      <c r="B10" s="251" t="s">
        <v>29</v>
      </c>
      <c r="C10" s="252"/>
      <c r="D10" s="252"/>
      <c r="E10" s="252"/>
      <c r="H10" s="234"/>
    </row>
    <row r="11" spans="2:8" x14ac:dyDescent="0.2">
      <c r="B11" s="50" t="s">
        <v>24</v>
      </c>
      <c r="C11" s="15" t="s">
        <v>26</v>
      </c>
      <c r="E11" s="53">
        <f>+'Costo Asociado'!C8</f>
        <v>6422.1361094676504</v>
      </c>
    </row>
    <row r="12" spans="2:8" x14ac:dyDescent="0.2">
      <c r="B12" s="50" t="s">
        <v>25</v>
      </c>
      <c r="C12" s="15" t="s">
        <v>21</v>
      </c>
      <c r="E12" s="219">
        <f>AVERAGE(Qn!C12:E12)</f>
        <v>120</v>
      </c>
    </row>
    <row r="13" spans="2:8" x14ac:dyDescent="0.2">
      <c r="B13" s="50" t="s">
        <v>176</v>
      </c>
      <c r="C13" s="15" t="s">
        <v>145</v>
      </c>
      <c r="E13" s="216">
        <f>+t!H12</f>
        <v>3</v>
      </c>
    </row>
    <row r="14" spans="2:8" x14ac:dyDescent="0.2">
      <c r="B14" s="50"/>
      <c r="C14" s="51"/>
      <c r="E14" s="217"/>
    </row>
    <row r="15" spans="2:8" s="15" customFormat="1" x14ac:dyDescent="0.2">
      <c r="B15" s="47" t="s">
        <v>9</v>
      </c>
      <c r="C15" s="48"/>
      <c r="E15" s="218">
        <f>+E11*E12*E13</f>
        <v>2311968.9994083541</v>
      </c>
    </row>
    <row r="16" spans="2:8" x14ac:dyDescent="0.2">
      <c r="B16" s="50"/>
      <c r="C16" s="51"/>
    </row>
    <row r="17" spans="2:5" s="14" customFormat="1" x14ac:dyDescent="0.2">
      <c r="B17" s="55" t="s">
        <v>7</v>
      </c>
      <c r="C17" s="98" t="s">
        <v>28</v>
      </c>
      <c r="D17" s="99" t="s">
        <v>115</v>
      </c>
      <c r="E17" s="99" t="s">
        <v>175</v>
      </c>
    </row>
    <row r="18" spans="2:5" x14ac:dyDescent="0.2">
      <c r="B18" s="50" t="s">
        <v>7</v>
      </c>
      <c r="C18" s="53">
        <v>4500</v>
      </c>
      <c r="D18" s="53">
        <f>+C18*SUM(Qn!C12:E12)</f>
        <v>1620000</v>
      </c>
      <c r="E18" s="53">
        <f>+D18*$E$8</f>
        <v>1620000</v>
      </c>
    </row>
    <row r="19" spans="2:5" x14ac:dyDescent="0.2">
      <c r="B19" s="56" t="s">
        <v>11</v>
      </c>
      <c r="C19" s="221">
        <f>SUM(C18:C18)</f>
        <v>4500</v>
      </c>
      <c r="D19" s="100"/>
      <c r="E19" s="221">
        <f>SUM(E18:E18)</f>
        <v>1620000</v>
      </c>
    </row>
    <row r="20" spans="2:5" x14ac:dyDescent="0.2">
      <c r="B20" s="50"/>
      <c r="C20" s="101"/>
      <c r="D20" s="102"/>
      <c r="E20" s="102"/>
    </row>
    <row r="21" spans="2:5" x14ac:dyDescent="0.2">
      <c r="B21" s="50"/>
      <c r="C21" s="101"/>
      <c r="D21" s="102"/>
      <c r="E21" s="102"/>
    </row>
    <row r="22" spans="2:5" ht="13.5" thickBot="1" x14ac:dyDescent="0.25">
      <c r="B22" s="47" t="s">
        <v>12</v>
      </c>
      <c r="C22" s="103"/>
      <c r="D22" s="104"/>
      <c r="E22" s="82">
        <f>+E15-E18</f>
        <v>691968.99940835405</v>
      </c>
    </row>
    <row r="23" spans="2:5" x14ac:dyDescent="0.2">
      <c r="B23" s="50" t="s">
        <v>13</v>
      </c>
      <c r="C23" s="101"/>
      <c r="D23" s="102"/>
      <c r="E23" s="105">
        <v>0.3</v>
      </c>
    </row>
    <row r="24" spans="2:5" ht="13.5" thickBot="1" x14ac:dyDescent="0.25">
      <c r="B24" s="50" t="s">
        <v>14</v>
      </c>
      <c r="C24" s="101"/>
      <c r="D24" s="102"/>
      <c r="E24" s="83">
        <f>+E22*E23</f>
        <v>207590.6998225062</v>
      </c>
    </row>
    <row r="25" spans="2:5" ht="13.5" thickBot="1" x14ac:dyDescent="0.25">
      <c r="B25" s="47" t="s">
        <v>15</v>
      </c>
      <c r="C25" s="103"/>
      <c r="D25" s="104"/>
      <c r="E25" s="84">
        <f>+E22-E24</f>
        <v>484378.29958584788</v>
      </c>
    </row>
    <row r="26" spans="2:5" ht="13.5" thickTop="1" x14ac:dyDescent="0.2">
      <c r="B26" s="50"/>
      <c r="C26" s="51"/>
      <c r="E26" s="106"/>
    </row>
    <row r="27" spans="2:5" ht="15" customHeight="1" x14ac:dyDescent="0.2">
      <c r="B27" s="257" t="s">
        <v>184</v>
      </c>
      <c r="C27" s="257"/>
      <c r="D27" s="257"/>
      <c r="E27" s="257"/>
    </row>
    <row r="28" spans="2:5" ht="15" customHeight="1" x14ac:dyDescent="0.2">
      <c r="B28" s="258">
        <f>+E18+E24</f>
        <v>1827590.6998225062</v>
      </c>
      <c r="C28" s="258"/>
      <c r="D28" s="259">
        <f>+E25</f>
        <v>484378.29958584788</v>
      </c>
      <c r="E28" s="259"/>
    </row>
    <row r="29" spans="2:5" ht="15" customHeight="1" x14ac:dyDescent="0.2">
      <c r="B29" s="260">
        <f>+D28/B28</f>
        <v>0.26503653122818488</v>
      </c>
      <c r="C29" s="260"/>
      <c r="D29" s="260"/>
      <c r="E29" s="260"/>
    </row>
    <row r="30" spans="2:5" x14ac:dyDescent="0.2">
      <c r="B30" s="50"/>
      <c r="C30" s="51"/>
      <c r="E30" s="23"/>
    </row>
    <row r="31" spans="2:5" x14ac:dyDescent="0.2">
      <c r="B31" s="251" t="s">
        <v>47</v>
      </c>
      <c r="C31" s="252"/>
      <c r="D31" s="252"/>
      <c r="E31" s="252"/>
    </row>
    <row r="32" spans="2:5" s="2" customFormat="1" ht="16.5" thickBot="1" x14ac:dyDescent="0.3">
      <c r="C32" s="57"/>
      <c r="D32" s="220" t="s">
        <v>16</v>
      </c>
      <c r="E32" s="16">
        <f>+'CAPM-WACC'!J46</f>
        <v>0.26503653122818471</v>
      </c>
    </row>
    <row r="33" spans="2:6" ht="13.5" thickBot="1" x14ac:dyDescent="0.25">
      <c r="B33" s="50"/>
      <c r="C33" s="51"/>
      <c r="E33" s="23"/>
      <c r="F33" s="23"/>
    </row>
    <row r="34" spans="2:6" ht="12.75" customHeight="1" x14ac:dyDescent="0.2">
      <c r="B34" s="253" t="s">
        <v>121</v>
      </c>
      <c r="C34" s="254"/>
      <c r="D34" s="254"/>
      <c r="E34" s="254"/>
    </row>
    <row r="35" spans="2:6" ht="13.5" customHeight="1" thickBot="1" x14ac:dyDescent="0.25">
      <c r="B35" s="255"/>
      <c r="C35" s="256"/>
      <c r="D35" s="256"/>
      <c r="E35" s="256"/>
    </row>
    <row r="36" spans="2:6" x14ac:dyDescent="0.2">
      <c r="B36" s="58"/>
      <c r="C36" s="59"/>
      <c r="D36" s="60"/>
      <c r="E36" s="60"/>
    </row>
  </sheetData>
  <mergeCells count="7">
    <mergeCell ref="B31:E31"/>
    <mergeCell ref="B34:E35"/>
    <mergeCell ref="B10:E10"/>
    <mergeCell ref="B27:E27"/>
    <mergeCell ref="B28:C28"/>
    <mergeCell ref="D28:E28"/>
    <mergeCell ref="B29:E29"/>
  </mergeCells>
  <printOptions horizontalCentered="1"/>
  <pageMargins left="0.7" right="0.7" top="0.75" bottom="0.75" header="0.3" footer="0.3"/>
  <pageSetup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  <pageSetUpPr fitToPage="1"/>
  </sheetPr>
  <dimension ref="B2:I17"/>
  <sheetViews>
    <sheetView showGridLines="0" zoomScaleNormal="100" workbookViewId="0">
      <selection activeCell="E13" sqref="E13"/>
    </sheetView>
  </sheetViews>
  <sheetFormatPr baseColWidth="10" defaultColWidth="11.5703125" defaultRowHeight="15" x14ac:dyDescent="0.25"/>
  <cols>
    <col min="1" max="1" width="2.85546875" style="1" customWidth="1"/>
    <col min="2" max="2" width="34.85546875" style="1" customWidth="1"/>
    <col min="3" max="5" width="10.5703125" style="1" customWidth="1"/>
    <col min="6" max="6" width="14.7109375" style="17" bestFit="1" customWidth="1"/>
    <col min="7" max="16384" width="11.5703125" style="1"/>
  </cols>
  <sheetData>
    <row r="2" spans="2:9" s="12" customFormat="1" ht="22.5" x14ac:dyDescent="0.3">
      <c r="B2" s="91" t="s">
        <v>125</v>
      </c>
      <c r="C2" s="92"/>
      <c r="D2" s="93"/>
      <c r="E2" s="94"/>
      <c r="F2" s="107"/>
      <c r="H2"/>
      <c r="I2" s="1"/>
    </row>
    <row r="3" spans="2:9" s="12" customFormat="1" x14ac:dyDescent="0.25">
      <c r="B3" s="50" t="str">
        <f>Adjuntos!B2</f>
        <v>UNIVERSIDAD XXX</v>
      </c>
      <c r="C3" s="51"/>
      <c r="F3" s="108"/>
      <c r="G3" s="13"/>
      <c r="I3" s="1"/>
    </row>
    <row r="4" spans="2:9" s="12" customFormat="1" ht="15" customHeight="1" x14ac:dyDescent="0.25">
      <c r="B4" s="271" t="s">
        <v>177</v>
      </c>
      <c r="C4" s="272"/>
      <c r="D4" s="272"/>
      <c r="E4" s="272"/>
      <c r="F4" s="273"/>
      <c r="G4" s="13"/>
      <c r="I4" s="1"/>
    </row>
    <row r="5" spans="2:9" s="12" customFormat="1" ht="3.6" customHeight="1" x14ac:dyDescent="0.25">
      <c r="B5" s="109"/>
      <c r="C5" s="110"/>
      <c r="D5" s="110"/>
      <c r="E5" s="110"/>
      <c r="F5" s="111"/>
      <c r="G5" s="13"/>
      <c r="I5" s="1"/>
    </row>
    <row r="6" spans="2:9" s="12" customFormat="1" x14ac:dyDescent="0.25">
      <c r="B6" s="36" t="s">
        <v>149</v>
      </c>
      <c r="F6" s="108"/>
      <c r="G6" s="13"/>
      <c r="I6" s="1"/>
    </row>
    <row r="7" spans="2:9" x14ac:dyDescent="0.25">
      <c r="B7" s="36"/>
      <c r="F7" s="112"/>
    </row>
    <row r="8" spans="2:9" ht="14.45" customHeight="1" x14ac:dyDescent="0.25">
      <c r="B8" s="261" t="s">
        <v>178</v>
      </c>
      <c r="C8" s="262"/>
      <c r="D8" s="262"/>
      <c r="E8" s="262"/>
      <c r="F8" s="263"/>
    </row>
    <row r="9" spans="2:9" x14ac:dyDescent="0.25">
      <c r="B9" s="264"/>
      <c r="C9" s="265"/>
      <c r="D9" s="265"/>
      <c r="E9" s="265"/>
      <c r="F9" s="266"/>
    </row>
    <row r="10" spans="2:9" ht="7.5" customHeight="1" x14ac:dyDescent="0.25">
      <c r="B10" s="113"/>
      <c r="C10" s="114"/>
      <c r="D10" s="114"/>
      <c r="E10" s="114"/>
      <c r="F10" s="115"/>
    </row>
    <row r="11" spans="2:9" ht="13.9" customHeight="1" x14ac:dyDescent="0.25">
      <c r="B11" s="61" t="s">
        <v>116</v>
      </c>
      <c r="C11" s="62" t="s">
        <v>179</v>
      </c>
      <c r="D11" s="62" t="s">
        <v>180</v>
      </c>
      <c r="E11" s="62" t="s">
        <v>181</v>
      </c>
      <c r="F11" s="63" t="s">
        <v>182</v>
      </c>
    </row>
    <row r="12" spans="2:9" x14ac:dyDescent="0.25">
      <c r="B12" s="44" t="s">
        <v>175</v>
      </c>
      <c r="C12" s="88">
        <v>120</v>
      </c>
      <c r="D12" s="88">
        <v>120</v>
      </c>
      <c r="E12" s="88">
        <v>120</v>
      </c>
      <c r="F12" s="64">
        <f>AVERAGE(C12:E12)</f>
        <v>120</v>
      </c>
    </row>
    <row r="13" spans="2:9" ht="7.5" customHeight="1" x14ac:dyDescent="0.25">
      <c r="B13" s="36"/>
      <c r="F13" s="116"/>
    </row>
    <row r="14" spans="2:9" x14ac:dyDescent="0.25">
      <c r="B14" s="65" t="s">
        <v>10</v>
      </c>
      <c r="C14" s="66">
        <f>SUM(C12:C13)</f>
        <v>120</v>
      </c>
      <c r="D14" s="66">
        <f>SUM(D12:D13)</f>
        <v>120</v>
      </c>
      <c r="E14" s="66">
        <f>SUM(E12:E13)</f>
        <v>120</v>
      </c>
      <c r="F14" s="67">
        <f>SUM(F12:F13)</f>
        <v>120</v>
      </c>
    </row>
    <row r="15" spans="2:9" ht="15.75" thickBot="1" x14ac:dyDescent="0.3">
      <c r="B15" s="36"/>
      <c r="F15" s="112"/>
    </row>
    <row r="16" spans="2:9" ht="13.9" customHeight="1" x14ac:dyDescent="0.25">
      <c r="B16" s="253" t="s">
        <v>126</v>
      </c>
      <c r="C16" s="254"/>
      <c r="D16" s="254"/>
      <c r="E16" s="254"/>
      <c r="F16" s="267"/>
    </row>
    <row r="17" spans="2:6" ht="14.45" customHeight="1" x14ac:dyDescent="0.25">
      <c r="B17" s="268"/>
      <c r="C17" s="269"/>
      <c r="D17" s="269"/>
      <c r="E17" s="269"/>
      <c r="F17" s="270"/>
    </row>
  </sheetData>
  <mergeCells count="3">
    <mergeCell ref="B8:F9"/>
    <mergeCell ref="B16:F17"/>
    <mergeCell ref="B4:F4"/>
  </mergeCells>
  <printOptions horizontalCentered="1"/>
  <pageMargins left="0.7" right="0.7" top="0.75" bottom="0.75" header="0.3" footer="0.3"/>
  <pageSetup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2060"/>
  </sheetPr>
  <dimension ref="B2:G15"/>
  <sheetViews>
    <sheetView showGridLines="0" zoomScaleNormal="100" zoomScaleSheetLayoutView="100" workbookViewId="0">
      <selection activeCell="G7" sqref="G7"/>
    </sheetView>
  </sheetViews>
  <sheetFormatPr baseColWidth="10" defaultColWidth="11.5703125" defaultRowHeight="15" x14ac:dyDescent="0.25"/>
  <cols>
    <col min="1" max="1" width="2.85546875" style="1" customWidth="1"/>
    <col min="2" max="4" width="11.5703125" style="1"/>
    <col min="5" max="6" width="14.7109375" style="1" bestFit="1" customWidth="1"/>
    <col min="7" max="7" width="19.5703125" style="1" bestFit="1" customWidth="1"/>
    <col min="8" max="16384" width="11.5703125" style="1"/>
  </cols>
  <sheetData>
    <row r="2" spans="2:7" ht="25.5" x14ac:dyDescent="0.35">
      <c r="B2" s="120" t="s">
        <v>31</v>
      </c>
      <c r="C2" s="117"/>
      <c r="D2" s="94"/>
      <c r="E2" s="94"/>
      <c r="F2" s="94"/>
      <c r="G2" s="95"/>
    </row>
    <row r="3" spans="2:7" x14ac:dyDescent="0.25">
      <c r="B3" s="50" t="str">
        <f>+Adjuntos!B2</f>
        <v>UNIVERSIDAD XXX</v>
      </c>
      <c r="C3" s="54"/>
      <c r="D3" s="12"/>
      <c r="E3" s="12"/>
      <c r="F3" s="12"/>
      <c r="G3" s="52"/>
    </row>
    <row r="4" spans="2:7" x14ac:dyDescent="0.25">
      <c r="B4" s="50" t="s">
        <v>127</v>
      </c>
      <c r="G4" s="37"/>
    </row>
    <row r="5" spans="2:7" x14ac:dyDescent="0.25">
      <c r="B5" s="96" t="s">
        <v>8</v>
      </c>
      <c r="G5" s="37"/>
    </row>
    <row r="6" spans="2:7" x14ac:dyDescent="0.25">
      <c r="B6" s="36"/>
      <c r="G6" s="37"/>
    </row>
    <row r="7" spans="2:7" x14ac:dyDescent="0.25">
      <c r="B7" s="74" t="s">
        <v>30</v>
      </c>
      <c r="C7" s="75"/>
      <c r="D7" s="75"/>
      <c r="E7" s="75"/>
      <c r="F7" s="75"/>
      <c r="G7" s="76">
        <v>2023</v>
      </c>
    </row>
    <row r="8" spans="2:7" x14ac:dyDescent="0.25">
      <c r="B8" s="77" t="s">
        <v>148</v>
      </c>
      <c r="C8" s="121"/>
      <c r="D8" s="121"/>
      <c r="E8" s="122"/>
      <c r="F8" s="122"/>
      <c r="G8" s="85">
        <v>187821713.44999999</v>
      </c>
    </row>
    <row r="9" spans="2:7" x14ac:dyDescent="0.25">
      <c r="B9" s="77" t="s">
        <v>147</v>
      </c>
      <c r="C9" s="121"/>
      <c r="D9" s="121"/>
      <c r="E9" s="122"/>
      <c r="F9" s="122"/>
      <c r="G9" s="85">
        <v>239124599</v>
      </c>
    </row>
    <row r="10" spans="2:7" x14ac:dyDescent="0.25">
      <c r="B10" s="77" t="s">
        <v>146</v>
      </c>
      <c r="C10" s="121"/>
      <c r="D10" s="121"/>
      <c r="E10" s="122"/>
      <c r="F10" s="122"/>
      <c r="G10" s="85">
        <v>1934359298.8800001</v>
      </c>
    </row>
    <row r="11" spans="2:7" ht="13.9" customHeight="1" x14ac:dyDescent="0.25">
      <c r="B11" s="78" t="s">
        <v>32</v>
      </c>
      <c r="C11" s="79"/>
      <c r="D11" s="79"/>
      <c r="E11" s="80"/>
      <c r="F11" s="80"/>
      <c r="G11" s="87">
        <f>SUM(G8:G10)</f>
        <v>2361305611.3299999</v>
      </c>
    </row>
    <row r="12" spans="2:7" ht="15.75" thickBot="1" x14ac:dyDescent="0.3">
      <c r="B12" s="36"/>
      <c r="G12" s="86"/>
    </row>
    <row r="13" spans="2:7" x14ac:dyDescent="0.25">
      <c r="B13" s="253" t="s">
        <v>126</v>
      </c>
      <c r="C13" s="254"/>
      <c r="D13" s="254"/>
      <c r="E13" s="254"/>
      <c r="F13" s="254"/>
      <c r="G13" s="267"/>
    </row>
    <row r="14" spans="2:7" ht="15.75" thickBot="1" x14ac:dyDescent="0.3">
      <c r="B14" s="255"/>
      <c r="C14" s="256"/>
      <c r="D14" s="256"/>
      <c r="E14" s="256"/>
      <c r="F14" s="256"/>
      <c r="G14" s="274"/>
    </row>
    <row r="15" spans="2:7" x14ac:dyDescent="0.25">
      <c r="B15" s="44"/>
      <c r="C15" s="45"/>
      <c r="D15" s="45"/>
      <c r="E15" s="45"/>
      <c r="F15" s="45"/>
      <c r="G15" s="46"/>
    </row>
  </sheetData>
  <mergeCells count="1">
    <mergeCell ref="B13:G14"/>
  </mergeCells>
  <pageMargins left="0.7" right="0.7" top="0.75" bottom="0.75" header="0.3" footer="0.3"/>
  <pageSetup paperSize="9" orientation="portrait" r:id="rId1"/>
  <ignoredErrors>
    <ignoredError sqref="G1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2060"/>
  </sheetPr>
  <dimension ref="B2:G19"/>
  <sheetViews>
    <sheetView showGridLines="0" zoomScaleNormal="100" workbookViewId="0">
      <selection activeCell="B4" sqref="B4"/>
    </sheetView>
  </sheetViews>
  <sheetFormatPr baseColWidth="10" defaultColWidth="11.5703125" defaultRowHeight="15" x14ac:dyDescent="0.25"/>
  <cols>
    <col min="1" max="1" width="2.85546875" style="1" customWidth="1"/>
    <col min="2" max="4" width="11.5703125" style="1"/>
    <col min="5" max="6" width="16.140625" style="1" bestFit="1" customWidth="1"/>
    <col min="7" max="7" width="20.85546875" style="1" bestFit="1" customWidth="1"/>
    <col min="8" max="16384" width="11.5703125" style="1"/>
  </cols>
  <sheetData>
    <row r="2" spans="2:7" ht="25.5" x14ac:dyDescent="0.35">
      <c r="B2" s="120" t="s">
        <v>33</v>
      </c>
      <c r="C2" s="117"/>
      <c r="D2" s="94"/>
      <c r="E2" s="94"/>
      <c r="F2" s="94"/>
      <c r="G2" s="95"/>
    </row>
    <row r="3" spans="2:7" x14ac:dyDescent="0.25">
      <c r="B3" s="50" t="str">
        <f>Adjuntos!B2</f>
        <v>UNIVERSIDAD XXX</v>
      </c>
      <c r="C3" s="54"/>
      <c r="D3" s="12"/>
      <c r="E3" s="12"/>
      <c r="F3" s="12"/>
      <c r="G3" s="52"/>
    </row>
    <row r="4" spans="2:7" x14ac:dyDescent="0.25">
      <c r="B4" s="50" t="s">
        <v>127</v>
      </c>
      <c r="G4" s="37"/>
    </row>
    <row r="5" spans="2:7" x14ac:dyDescent="0.25">
      <c r="B5" s="96" t="s">
        <v>8</v>
      </c>
      <c r="G5" s="37"/>
    </row>
    <row r="6" spans="2:7" ht="10.9" customHeight="1" x14ac:dyDescent="0.25">
      <c r="B6" s="36"/>
      <c r="G6" s="37"/>
    </row>
    <row r="7" spans="2:7" x14ac:dyDescent="0.25">
      <c r="B7" s="123" t="s">
        <v>30</v>
      </c>
      <c r="C7" s="124"/>
      <c r="D7" s="124"/>
      <c r="E7" s="124"/>
      <c r="F7" s="124"/>
      <c r="G7" s="125">
        <v>2022</v>
      </c>
    </row>
    <row r="8" spans="2:7" x14ac:dyDescent="0.25">
      <c r="B8" s="36" t="s">
        <v>34</v>
      </c>
      <c r="C8" s="81"/>
      <c r="E8" s="81"/>
      <c r="F8" s="81"/>
      <c r="G8" s="126">
        <v>1220160000</v>
      </c>
    </row>
    <row r="9" spans="2:7" x14ac:dyDescent="0.25">
      <c r="B9" s="36" t="s">
        <v>35</v>
      </c>
      <c r="C9" s="81"/>
      <c r="E9" s="81"/>
      <c r="F9" s="81"/>
      <c r="G9" s="126">
        <v>2988185369.0500002</v>
      </c>
    </row>
    <row r="10" spans="2:7" x14ac:dyDescent="0.25">
      <c r="B10" s="36" t="s">
        <v>36</v>
      </c>
      <c r="C10" s="81"/>
      <c r="E10" s="81"/>
      <c r="F10" s="81"/>
      <c r="G10" s="126">
        <v>33032000</v>
      </c>
    </row>
    <row r="11" spans="2:7" x14ac:dyDescent="0.25">
      <c r="B11" s="36" t="s">
        <v>61</v>
      </c>
      <c r="C11" s="81"/>
      <c r="E11" s="81"/>
      <c r="F11" s="81"/>
      <c r="G11" s="126">
        <v>59780515.579999998</v>
      </c>
    </row>
    <row r="12" spans="2:7" x14ac:dyDescent="0.25">
      <c r="B12" s="36" t="s">
        <v>117</v>
      </c>
      <c r="C12" s="81"/>
      <c r="E12" s="81"/>
      <c r="F12" s="81"/>
      <c r="G12" s="126">
        <v>33865306.539999999</v>
      </c>
    </row>
    <row r="13" spans="2:7" x14ac:dyDescent="0.25">
      <c r="B13" s="36" t="s">
        <v>37</v>
      </c>
      <c r="C13" s="81"/>
      <c r="E13" s="81"/>
      <c r="F13" s="81"/>
      <c r="G13" s="126">
        <v>7405586030.7700005</v>
      </c>
    </row>
    <row r="14" spans="2:7" x14ac:dyDescent="0.25">
      <c r="B14" s="36" t="s">
        <v>38</v>
      </c>
      <c r="C14" s="81"/>
      <c r="E14" s="81"/>
      <c r="F14" s="81"/>
      <c r="G14" s="126">
        <v>5984613360.5299997</v>
      </c>
    </row>
    <row r="15" spans="2:7" x14ac:dyDescent="0.25">
      <c r="B15" s="127" t="s">
        <v>33</v>
      </c>
      <c r="C15" s="128"/>
      <c r="D15" s="128"/>
      <c r="E15" s="128"/>
      <c r="F15" s="128"/>
      <c r="G15" s="129">
        <f>SUM(G8:G14)</f>
        <v>17725222582.470001</v>
      </c>
    </row>
    <row r="16" spans="2:7" ht="15.75" thickBot="1" x14ac:dyDescent="0.3">
      <c r="B16" s="36"/>
      <c r="G16" s="130"/>
    </row>
    <row r="17" spans="2:7" x14ac:dyDescent="0.25">
      <c r="B17" s="275" t="s">
        <v>126</v>
      </c>
      <c r="C17" s="276"/>
      <c r="D17" s="276"/>
      <c r="E17" s="276"/>
      <c r="F17" s="276"/>
      <c r="G17" s="277"/>
    </row>
    <row r="18" spans="2:7" ht="15.75" thickBot="1" x14ac:dyDescent="0.3">
      <c r="B18" s="278"/>
      <c r="C18" s="279"/>
      <c r="D18" s="279"/>
      <c r="E18" s="279"/>
      <c r="F18" s="279"/>
      <c r="G18" s="280"/>
    </row>
    <row r="19" spans="2:7" x14ac:dyDescent="0.25">
      <c r="B19" s="44"/>
      <c r="C19" s="45"/>
      <c r="D19" s="45"/>
      <c r="E19" s="45"/>
      <c r="F19" s="45"/>
      <c r="G19" s="46"/>
    </row>
  </sheetData>
  <mergeCells count="1">
    <mergeCell ref="B17:G18"/>
  </mergeCells>
  <pageMargins left="0.7" right="0.7" top="0.75" bottom="0.75" header="0.3" footer="0.3"/>
  <pageSetup scale="99" orientation="portrait" r:id="rId1"/>
  <ignoredErrors>
    <ignoredError sqref="G1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2060"/>
  </sheetPr>
  <dimension ref="B2:G32"/>
  <sheetViews>
    <sheetView showGridLines="0" zoomScaleNormal="100" zoomScaleSheetLayoutView="100" workbookViewId="0">
      <selection activeCell="F10" sqref="F10"/>
    </sheetView>
  </sheetViews>
  <sheetFormatPr baseColWidth="10" defaultColWidth="11.5703125" defaultRowHeight="15" x14ac:dyDescent="0.25"/>
  <cols>
    <col min="1" max="1" width="2.85546875" style="1" customWidth="1"/>
    <col min="2" max="4" width="11.5703125" style="1"/>
    <col min="5" max="6" width="14.7109375" style="1" bestFit="1" customWidth="1"/>
    <col min="7" max="7" width="19.5703125" style="1" bestFit="1" customWidth="1"/>
    <col min="8" max="16384" width="11.5703125" style="1"/>
  </cols>
  <sheetData>
    <row r="2" spans="2:7" ht="25.5" x14ac:dyDescent="0.35">
      <c r="B2" s="120" t="s">
        <v>151</v>
      </c>
      <c r="C2" s="117"/>
      <c r="D2" s="94"/>
      <c r="E2" s="94"/>
      <c r="F2" s="94"/>
      <c r="G2" s="95"/>
    </row>
    <row r="3" spans="2:7" x14ac:dyDescent="0.25">
      <c r="B3" s="50" t="str">
        <f>Adjuntos!B2</f>
        <v>UNIVERSIDAD XXX</v>
      </c>
      <c r="C3" s="54"/>
      <c r="D3" s="12"/>
      <c r="E3" s="12"/>
      <c r="F3" s="12"/>
      <c r="G3" s="52"/>
    </row>
    <row r="4" spans="2:7" x14ac:dyDescent="0.25">
      <c r="B4" s="50" t="s">
        <v>127</v>
      </c>
      <c r="G4" s="37"/>
    </row>
    <row r="5" spans="2:7" x14ac:dyDescent="0.25">
      <c r="B5" s="96" t="s">
        <v>8</v>
      </c>
      <c r="G5" s="37"/>
    </row>
    <row r="6" spans="2:7" x14ac:dyDescent="0.25">
      <c r="B6" s="36"/>
      <c r="G6" s="37"/>
    </row>
    <row r="7" spans="2:7" x14ac:dyDescent="0.25">
      <c r="B7" s="74" t="s">
        <v>30</v>
      </c>
      <c r="C7" s="75"/>
      <c r="D7" s="75"/>
      <c r="E7" s="75"/>
      <c r="F7" s="75"/>
      <c r="G7" s="76">
        <v>2023</v>
      </c>
    </row>
    <row r="8" spans="2:7" x14ac:dyDescent="0.25">
      <c r="B8" s="281" t="s">
        <v>170</v>
      </c>
      <c r="C8" s="282"/>
      <c r="D8" s="282"/>
      <c r="E8" s="282"/>
      <c r="F8" s="282"/>
      <c r="G8" s="283"/>
    </row>
    <row r="9" spans="2:7" x14ac:dyDescent="0.25">
      <c r="B9" s="77" t="s">
        <v>156</v>
      </c>
      <c r="C9" s="222"/>
      <c r="D9" s="222"/>
      <c r="E9" s="222"/>
      <c r="F9" s="222"/>
      <c r="G9" s="85">
        <v>2096053.8495049998</v>
      </c>
    </row>
    <row r="10" spans="2:7" x14ac:dyDescent="0.25">
      <c r="B10" s="77" t="s">
        <v>157</v>
      </c>
      <c r="C10" s="222"/>
      <c r="D10" s="222"/>
      <c r="E10" s="222"/>
      <c r="F10" s="222"/>
      <c r="G10" s="85">
        <v>0</v>
      </c>
    </row>
    <row r="11" spans="2:7" x14ac:dyDescent="0.25">
      <c r="B11" s="77" t="s">
        <v>158</v>
      </c>
      <c r="C11" s="222"/>
      <c r="D11" s="222"/>
      <c r="E11" s="222"/>
      <c r="F11" s="222"/>
      <c r="G11" s="85">
        <v>0</v>
      </c>
    </row>
    <row r="12" spans="2:7" x14ac:dyDescent="0.25">
      <c r="B12" s="77" t="s">
        <v>159</v>
      </c>
      <c r="C12" s="222"/>
      <c r="D12" s="222"/>
      <c r="E12" s="222"/>
      <c r="F12" s="222"/>
      <c r="G12" s="85">
        <v>1600372.6222550001</v>
      </c>
    </row>
    <row r="13" spans="2:7" x14ac:dyDescent="0.25">
      <c r="B13" s="77" t="s">
        <v>160</v>
      </c>
      <c r="C13" s="222"/>
      <c r="D13" s="222"/>
      <c r="E13" s="222"/>
      <c r="F13" s="222"/>
      <c r="G13" s="85">
        <v>8.5000000000000006E-5</v>
      </c>
    </row>
    <row r="14" spans="2:7" x14ac:dyDescent="0.25">
      <c r="B14" s="77" t="s">
        <v>161</v>
      </c>
      <c r="C14" s="222"/>
      <c r="D14" s="222"/>
      <c r="E14" s="222"/>
      <c r="F14" s="222"/>
      <c r="G14" s="85">
        <v>3021.9956500000003</v>
      </c>
    </row>
    <row r="15" spans="2:7" x14ac:dyDescent="0.25">
      <c r="B15" s="77" t="s">
        <v>162</v>
      </c>
      <c r="C15" s="222"/>
      <c r="D15" s="222"/>
      <c r="E15" s="222"/>
      <c r="F15" s="222"/>
      <c r="G15" s="85">
        <v>5043069.0009850003</v>
      </c>
    </row>
    <row r="16" spans="2:7" x14ac:dyDescent="0.25">
      <c r="B16" s="77" t="s">
        <v>163</v>
      </c>
      <c r="C16" s="222"/>
      <c r="D16" s="222"/>
      <c r="E16" s="222"/>
      <c r="F16" s="222"/>
      <c r="G16" s="85">
        <v>710266.42863500002</v>
      </c>
    </row>
    <row r="17" spans="2:7" x14ac:dyDescent="0.25">
      <c r="B17" s="77" t="s">
        <v>164</v>
      </c>
      <c r="C17" s="222"/>
      <c r="D17" s="222"/>
      <c r="E17" s="222"/>
      <c r="F17" s="222"/>
      <c r="G17" s="85">
        <v>1921254.6816750003</v>
      </c>
    </row>
    <row r="18" spans="2:7" x14ac:dyDescent="0.25">
      <c r="B18" s="77" t="s">
        <v>165</v>
      </c>
      <c r="C18" s="222"/>
      <c r="D18" s="222"/>
      <c r="E18" s="222"/>
      <c r="F18" s="222"/>
      <c r="G18" s="85">
        <v>15629492.653005</v>
      </c>
    </row>
    <row r="19" spans="2:7" x14ac:dyDescent="0.25">
      <c r="B19" s="226" t="s">
        <v>171</v>
      </c>
      <c r="C19" s="232"/>
      <c r="D19" s="232"/>
      <c r="E19" s="232"/>
      <c r="F19" s="232"/>
      <c r="G19" s="224">
        <f>SUM(G9:G18)</f>
        <v>27003531.231794998</v>
      </c>
    </row>
    <row r="20" spans="2:7" x14ac:dyDescent="0.25">
      <c r="B20" s="50"/>
      <c r="C20" s="222"/>
      <c r="D20" s="222"/>
      <c r="E20" s="222"/>
      <c r="F20" s="222"/>
      <c r="G20" s="223"/>
    </row>
    <row r="21" spans="2:7" x14ac:dyDescent="0.25">
      <c r="B21" s="281" t="s">
        <v>172</v>
      </c>
      <c r="C21" s="282"/>
      <c r="D21" s="282"/>
      <c r="E21" s="282"/>
      <c r="F21" s="282"/>
      <c r="G21" s="283"/>
    </row>
    <row r="22" spans="2:7" x14ac:dyDescent="0.25">
      <c r="B22" s="77" t="s">
        <v>166</v>
      </c>
      <c r="C22" s="121"/>
      <c r="D22" s="121"/>
      <c r="E22" s="122"/>
      <c r="F22" s="122"/>
      <c r="G22" s="85">
        <v>291417.74025500001</v>
      </c>
    </row>
    <row r="23" spans="2:7" x14ac:dyDescent="0.25">
      <c r="B23" s="77" t="s">
        <v>167</v>
      </c>
      <c r="C23" s="121"/>
      <c r="D23" s="121"/>
      <c r="E23" s="122"/>
      <c r="F23" s="122"/>
      <c r="G23" s="85">
        <v>738270.50755500002</v>
      </c>
    </row>
    <row r="24" spans="2:7" x14ac:dyDescent="0.25">
      <c r="B24" s="77" t="s">
        <v>168</v>
      </c>
      <c r="C24" s="121"/>
      <c r="D24" s="121"/>
      <c r="E24" s="122"/>
      <c r="F24" s="122"/>
      <c r="G24" s="85">
        <v>6700069.1928250007</v>
      </c>
    </row>
    <row r="25" spans="2:7" x14ac:dyDescent="0.25">
      <c r="B25" s="77" t="s">
        <v>169</v>
      </c>
      <c r="C25" s="121"/>
      <c r="D25" s="121"/>
      <c r="E25" s="122"/>
      <c r="F25" s="122"/>
      <c r="G25" s="85">
        <v>47940649.003135011</v>
      </c>
    </row>
    <row r="26" spans="2:7" x14ac:dyDescent="0.25">
      <c r="B26" s="226" t="s">
        <v>173</v>
      </c>
      <c r="C26" s="227"/>
      <c r="D26" s="227"/>
      <c r="E26" s="228"/>
      <c r="F26" s="228"/>
      <c r="G26" s="224">
        <f>SUM(G22:G25)</f>
        <v>55670406.443770014</v>
      </c>
    </row>
    <row r="27" spans="2:7" x14ac:dyDescent="0.25">
      <c r="B27" s="50"/>
      <c r="C27" s="12"/>
      <c r="D27" s="12"/>
      <c r="E27" s="233"/>
      <c r="F27" s="233"/>
      <c r="G27" s="223"/>
    </row>
    <row r="28" spans="2:7" x14ac:dyDescent="0.25">
      <c r="B28" s="229" t="s">
        <v>174</v>
      </c>
      <c r="C28" s="230"/>
      <c r="D28" s="230"/>
      <c r="E28" s="231"/>
      <c r="F28" s="231"/>
      <c r="G28" s="225">
        <f>+G26+G19</f>
        <v>82673937.675565004</v>
      </c>
    </row>
    <row r="29" spans="2:7" ht="15.75" thickBot="1" x14ac:dyDescent="0.3">
      <c r="B29" s="36"/>
      <c r="G29" s="86"/>
    </row>
    <row r="30" spans="2:7" x14ac:dyDescent="0.25">
      <c r="B30" s="253" t="s">
        <v>126</v>
      </c>
      <c r="C30" s="254"/>
      <c r="D30" s="254"/>
      <c r="E30" s="254"/>
      <c r="F30" s="254"/>
      <c r="G30" s="267"/>
    </row>
    <row r="31" spans="2:7" ht="15.75" thickBot="1" x14ac:dyDescent="0.3">
      <c r="B31" s="255"/>
      <c r="C31" s="256"/>
      <c r="D31" s="256"/>
      <c r="E31" s="256"/>
      <c r="F31" s="256"/>
      <c r="G31" s="274"/>
    </row>
    <row r="32" spans="2:7" x14ac:dyDescent="0.25">
      <c r="B32" s="44"/>
      <c r="C32" s="45"/>
      <c r="D32" s="45"/>
      <c r="E32" s="45"/>
      <c r="F32" s="45"/>
      <c r="G32" s="46"/>
    </row>
  </sheetData>
  <mergeCells count="3">
    <mergeCell ref="B30:G31"/>
    <mergeCell ref="B8:G8"/>
    <mergeCell ref="B21:G2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2060"/>
  </sheetPr>
  <dimension ref="B2:F22"/>
  <sheetViews>
    <sheetView showGridLines="0" zoomScaleNormal="100" zoomScaleSheetLayoutView="100" workbookViewId="0">
      <selection activeCell="B3" sqref="B3"/>
    </sheetView>
  </sheetViews>
  <sheetFormatPr baseColWidth="10" defaultColWidth="11.5703125" defaultRowHeight="15" x14ac:dyDescent="0.25"/>
  <cols>
    <col min="1" max="1" width="2.85546875" style="1" customWidth="1"/>
    <col min="2" max="2" width="38.42578125" style="1" customWidth="1"/>
    <col min="3" max="3" width="17.42578125" style="1" bestFit="1" customWidth="1"/>
    <col min="4" max="5" width="11.5703125" style="1"/>
    <col min="6" max="6" width="19" style="1" bestFit="1" customWidth="1"/>
    <col min="7" max="16384" width="11.5703125" style="1"/>
  </cols>
  <sheetData>
    <row r="2" spans="2:6" ht="25.5" x14ac:dyDescent="0.35">
      <c r="B2" s="120" t="s">
        <v>129</v>
      </c>
      <c r="C2" s="117"/>
      <c r="D2" s="94"/>
      <c r="E2" s="131"/>
      <c r="F2" s="95"/>
    </row>
    <row r="3" spans="2:6" x14ac:dyDescent="0.25">
      <c r="B3" s="50" t="s">
        <v>120</v>
      </c>
      <c r="C3" s="54"/>
      <c r="D3" s="12"/>
      <c r="E3" s="54"/>
      <c r="F3" s="37"/>
    </row>
    <row r="4" spans="2:6" x14ac:dyDescent="0.25">
      <c r="B4" s="50" t="s">
        <v>127</v>
      </c>
      <c r="F4" s="37"/>
    </row>
    <row r="5" spans="2:6" x14ac:dyDescent="0.25">
      <c r="B5" s="96" t="s">
        <v>8</v>
      </c>
      <c r="F5" s="37"/>
    </row>
    <row r="6" spans="2:6" x14ac:dyDescent="0.25">
      <c r="B6" s="36"/>
      <c r="F6" s="37"/>
    </row>
    <row r="7" spans="2:6" x14ac:dyDescent="0.25">
      <c r="B7" s="74" t="s">
        <v>30</v>
      </c>
      <c r="C7" s="75" t="s">
        <v>39</v>
      </c>
      <c r="D7" s="75"/>
      <c r="E7" s="75"/>
      <c r="F7" s="76">
        <v>2022</v>
      </c>
    </row>
    <row r="8" spans="2:6" x14ac:dyDescent="0.25">
      <c r="B8" s="77" t="s">
        <v>32</v>
      </c>
      <c r="C8" s="121"/>
      <c r="D8" s="121"/>
      <c r="E8" s="122"/>
      <c r="F8" s="85">
        <f>SUM(F9:F11)</f>
        <v>2361305611.3299999</v>
      </c>
    </row>
    <row r="9" spans="2:6" x14ac:dyDescent="0.25">
      <c r="B9" s="77" t="str">
        <f>+DF!B8</f>
        <v>Prestamo-A</v>
      </c>
      <c r="C9" s="121"/>
      <c r="D9" s="121"/>
      <c r="E9" s="122"/>
      <c r="F9" s="85">
        <f>+DF!G8</f>
        <v>187821713.44999999</v>
      </c>
    </row>
    <row r="10" spans="2:6" x14ac:dyDescent="0.25">
      <c r="B10" s="77" t="str">
        <f>+DF!B9</f>
        <v>Prestamo-B</v>
      </c>
      <c r="C10" s="121"/>
      <c r="D10" s="121"/>
      <c r="E10" s="122"/>
      <c r="F10" s="85">
        <f>+DF!G9</f>
        <v>239124599</v>
      </c>
    </row>
    <row r="11" spans="2:6" x14ac:dyDescent="0.25">
      <c r="B11" s="77" t="str">
        <f>+DF!B10</f>
        <v>Leasing a Largo Plazo-A</v>
      </c>
      <c r="C11" s="121"/>
      <c r="D11" s="121"/>
      <c r="E11" s="122"/>
      <c r="F11" s="85">
        <f>+DF!G10</f>
        <v>1934359298.8800001</v>
      </c>
    </row>
    <row r="12" spans="2:6" x14ac:dyDescent="0.25">
      <c r="B12" s="36"/>
      <c r="F12" s="86"/>
    </row>
    <row r="13" spans="2:6" x14ac:dyDescent="0.25">
      <c r="B13" s="77" t="s">
        <v>17</v>
      </c>
      <c r="C13" s="121"/>
      <c r="D13" s="121"/>
      <c r="E13" s="122"/>
      <c r="F13" s="85"/>
    </row>
    <row r="14" spans="2:6" x14ac:dyDescent="0.25">
      <c r="B14" s="77" t="s">
        <v>40</v>
      </c>
      <c r="C14" s="121"/>
      <c r="D14" s="121"/>
      <c r="E14" s="122"/>
      <c r="F14" s="90">
        <v>321694889.32999998</v>
      </c>
    </row>
    <row r="15" spans="2:6" x14ac:dyDescent="0.25">
      <c r="B15" s="36"/>
      <c r="F15" s="86"/>
    </row>
    <row r="16" spans="2:6" ht="13.9" customHeight="1" x14ac:dyDescent="0.25">
      <c r="B16" s="286" t="s">
        <v>41</v>
      </c>
      <c r="C16" s="287"/>
      <c r="D16" s="287"/>
      <c r="E16" s="287"/>
      <c r="F16" s="284">
        <f>+F14/F8</f>
        <v>0.13623602459014447</v>
      </c>
    </row>
    <row r="17" spans="2:6" x14ac:dyDescent="0.25">
      <c r="B17" s="288"/>
      <c r="C17" s="289"/>
      <c r="D17" s="289"/>
      <c r="E17" s="289"/>
      <c r="F17" s="285"/>
    </row>
    <row r="18" spans="2:6" x14ac:dyDescent="0.25">
      <c r="B18" s="36"/>
      <c r="F18" s="37"/>
    </row>
    <row r="19" spans="2:6" ht="15.75" thickBot="1" x14ac:dyDescent="0.3">
      <c r="B19" s="36"/>
      <c r="F19" s="37"/>
    </row>
    <row r="20" spans="2:6" x14ac:dyDescent="0.25">
      <c r="B20" s="253" t="s">
        <v>128</v>
      </c>
      <c r="C20" s="254"/>
      <c r="D20" s="254"/>
      <c r="E20" s="254"/>
      <c r="F20" s="267"/>
    </row>
    <row r="21" spans="2:6" ht="15.75" thickBot="1" x14ac:dyDescent="0.3">
      <c r="B21" s="255"/>
      <c r="C21" s="256"/>
      <c r="D21" s="256"/>
      <c r="E21" s="256"/>
      <c r="F21" s="274"/>
    </row>
    <row r="22" spans="2:6" x14ac:dyDescent="0.25">
      <c r="B22" s="44"/>
      <c r="C22" s="45"/>
      <c r="D22" s="45"/>
      <c r="E22" s="45"/>
      <c r="F22" s="46"/>
    </row>
  </sheetData>
  <mergeCells count="3">
    <mergeCell ref="F16:F17"/>
    <mergeCell ref="B20:F21"/>
    <mergeCell ref="B16:E17"/>
  </mergeCells>
  <pageMargins left="0.7" right="0.7" top="0.75" bottom="0.75" header="0.3" footer="0.3"/>
  <pageSetup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2060"/>
    <pageSetUpPr fitToPage="1"/>
  </sheetPr>
  <dimension ref="B2:H16"/>
  <sheetViews>
    <sheetView showGridLines="0" zoomScaleNormal="100" workbookViewId="0">
      <selection activeCell="H13" sqref="H13"/>
    </sheetView>
  </sheetViews>
  <sheetFormatPr baseColWidth="10" defaultColWidth="11.5703125" defaultRowHeight="15" x14ac:dyDescent="0.25"/>
  <cols>
    <col min="1" max="1" width="2.85546875" style="1" customWidth="1"/>
    <col min="2" max="2" width="28.42578125" style="1" customWidth="1"/>
    <col min="3" max="3" width="10.28515625" style="1" customWidth="1"/>
    <col min="4" max="4" width="11.5703125" style="1"/>
    <col min="5" max="5" width="11.42578125" style="1" customWidth="1"/>
    <col min="6" max="6" width="2.42578125" style="1" customWidth="1"/>
    <col min="7" max="7" width="3.140625" style="1" customWidth="1"/>
    <col min="8" max="16384" width="11.5703125" style="1"/>
  </cols>
  <sheetData>
    <row r="2" spans="2:8" ht="22.5" x14ac:dyDescent="0.3">
      <c r="B2" s="91" t="s">
        <v>185</v>
      </c>
      <c r="C2" s="117"/>
      <c r="D2" s="94"/>
      <c r="E2" s="94"/>
      <c r="F2" s="94"/>
      <c r="G2" s="94"/>
      <c r="H2" s="95"/>
    </row>
    <row r="3" spans="2:8" x14ac:dyDescent="0.25">
      <c r="B3" s="50" t="str">
        <f>+Adjuntos!B2</f>
        <v>UNIVERSIDAD XXX</v>
      </c>
      <c r="C3" s="54"/>
      <c r="D3" s="12"/>
      <c r="E3" s="12"/>
      <c r="F3" s="12"/>
      <c r="G3" s="12"/>
      <c r="H3" s="52"/>
    </row>
    <row r="4" spans="2:8" x14ac:dyDescent="0.25">
      <c r="B4" s="271" t="s">
        <v>177</v>
      </c>
      <c r="C4" s="272"/>
      <c r="D4" s="272"/>
      <c r="E4" s="272"/>
      <c r="F4" s="272"/>
      <c r="G4" s="272"/>
      <c r="H4" s="273"/>
    </row>
    <row r="5" spans="2:8" ht="4.9000000000000004" customHeight="1" x14ac:dyDescent="0.25">
      <c r="B5" s="109"/>
      <c r="C5" s="110"/>
      <c r="D5" s="110"/>
      <c r="E5" s="110"/>
      <c r="F5" s="110"/>
      <c r="G5" s="110"/>
      <c r="H5" s="111"/>
    </row>
    <row r="6" spans="2:8" x14ac:dyDescent="0.25">
      <c r="B6" s="50" t="str">
        <f>+Qn!B6</f>
        <v>Documentos Probatorios 2022</v>
      </c>
      <c r="C6" s="54"/>
      <c r="E6" s="12"/>
      <c r="F6" s="12"/>
      <c r="G6" s="12"/>
      <c r="H6" s="52"/>
    </row>
    <row r="7" spans="2:8" x14ac:dyDescent="0.25">
      <c r="B7" s="36"/>
      <c r="H7" s="37"/>
    </row>
    <row r="8" spans="2:8" x14ac:dyDescent="0.25">
      <c r="B8" s="290" t="s">
        <v>183</v>
      </c>
      <c r="C8" s="291"/>
      <c r="D8" s="291"/>
      <c r="E8" s="291"/>
      <c r="F8" s="291"/>
      <c r="G8" s="291"/>
      <c r="H8" s="292"/>
    </row>
    <row r="9" spans="2:8" x14ac:dyDescent="0.25">
      <c r="B9" s="293"/>
      <c r="C9" s="294"/>
      <c r="D9" s="294"/>
      <c r="E9" s="294"/>
      <c r="F9" s="294"/>
      <c r="G9" s="294"/>
      <c r="H9" s="295"/>
    </row>
    <row r="10" spans="2:8" x14ac:dyDescent="0.25">
      <c r="B10" s="36"/>
      <c r="H10" s="37"/>
    </row>
    <row r="11" spans="2:8" s="2" customFormat="1" ht="15.75" x14ac:dyDescent="0.25">
      <c r="B11" s="61" t="s">
        <v>116</v>
      </c>
      <c r="C11" s="68"/>
      <c r="D11" s="68"/>
      <c r="E11" s="68"/>
      <c r="F11" s="68"/>
      <c r="G11" s="68"/>
      <c r="H11" s="69">
        <v>2023</v>
      </c>
    </row>
    <row r="12" spans="2:8" s="2" customFormat="1" ht="15.75" x14ac:dyDescent="0.25">
      <c r="B12" s="44" t="s">
        <v>175</v>
      </c>
      <c r="C12" s="70"/>
      <c r="D12" s="71"/>
      <c r="E12" s="72"/>
      <c r="F12" s="72"/>
      <c r="G12" s="72"/>
      <c r="H12" s="73">
        <v>3</v>
      </c>
    </row>
    <row r="13" spans="2:8" s="2" customFormat="1" ht="16.5" thickBot="1" x14ac:dyDescent="0.3">
      <c r="B13" s="118"/>
      <c r="H13" s="119"/>
    </row>
    <row r="14" spans="2:8" x14ac:dyDescent="0.25">
      <c r="B14" s="253" t="s">
        <v>126</v>
      </c>
      <c r="C14" s="254"/>
      <c r="D14" s="254"/>
      <c r="E14" s="254"/>
      <c r="F14" s="254"/>
      <c r="G14" s="254"/>
      <c r="H14" s="267"/>
    </row>
    <row r="15" spans="2:8" ht="15.75" thickBot="1" x14ac:dyDescent="0.3">
      <c r="B15" s="255"/>
      <c r="C15" s="256"/>
      <c r="D15" s="256"/>
      <c r="E15" s="256"/>
      <c r="F15" s="256"/>
      <c r="G15" s="256"/>
      <c r="H15" s="274"/>
    </row>
    <row r="16" spans="2:8" x14ac:dyDescent="0.25">
      <c r="B16" s="44"/>
      <c r="C16" s="45"/>
      <c r="D16" s="45"/>
      <c r="E16" s="45"/>
      <c r="F16" s="45"/>
      <c r="G16" s="45"/>
      <c r="H16" s="46"/>
    </row>
  </sheetData>
  <mergeCells count="3">
    <mergeCell ref="B4:H4"/>
    <mergeCell ref="B8:H9"/>
    <mergeCell ref="B14:H15"/>
  </mergeCells>
  <printOptions horizontalCentered="1"/>
  <pageMargins left="0.7" right="0.7" top="0.75" bottom="0.75" header="0.3" footer="0.3"/>
  <pageSetup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a7d1e-7b3d-40c5-8396-df26cc395eaa">
      <Terms xmlns="http://schemas.microsoft.com/office/infopath/2007/PartnerControls"/>
    </lcf76f155ced4ddcb4097134ff3c332f>
    <TaxCatchAll xmlns="565cc389-76c5-4a24-9b71-55108466e72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BCC15400569442B84F03645001AD21" ma:contentTypeVersion="15" ma:contentTypeDescription="Crear nuevo documento." ma:contentTypeScope="" ma:versionID="2f070928e781c045ab8191b9e0444124">
  <xsd:schema xmlns:xsd="http://www.w3.org/2001/XMLSchema" xmlns:xs="http://www.w3.org/2001/XMLSchema" xmlns:p="http://schemas.microsoft.com/office/2006/metadata/properties" xmlns:ns2="565cc389-76c5-4a24-9b71-55108466e720" xmlns:ns3="42aa7d1e-7b3d-40c5-8396-df26cc395eaa" targetNamespace="http://schemas.microsoft.com/office/2006/metadata/properties" ma:root="true" ma:fieldsID="ea73f90f8e9cf36ec94d5a775341cdb8" ns2:_="" ns3:_="">
    <xsd:import namespace="565cc389-76c5-4a24-9b71-55108466e720"/>
    <xsd:import namespace="42aa7d1e-7b3d-40c5-8396-df26cc395ea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cc389-76c5-4a24-9b71-55108466e7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8317f7a-e51f-48a4-8b73-2ef4039f9060}" ma:internalName="TaxCatchAll" ma:showField="CatchAllData" ma:web="565cc389-76c5-4a24-9b71-55108466e7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a7d1e-7b3d-40c5-8396-df26cc395ea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8115887-cdc3-4f46-b99a-2756c4b594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3472EC-9DFC-4465-8E08-E1905BDE18BF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565cc389-76c5-4a24-9b71-55108466e720"/>
    <ds:schemaRef ds:uri="http://schemas.openxmlformats.org/package/2006/metadata/core-properties"/>
    <ds:schemaRef ds:uri="http://www.w3.org/XML/1998/namespace"/>
    <ds:schemaRef ds:uri="42aa7d1e-7b3d-40c5-8396-df26cc395eaa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23C2250-C251-4C2F-8B51-5529754462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5cc389-76c5-4a24-9b71-55108466e720"/>
    <ds:schemaRef ds:uri="42aa7d1e-7b3d-40c5-8396-df26cc395e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09ADAC-957D-4B1A-B4F7-B16DBE1EB9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Supuestos</vt:lpstr>
      <vt:lpstr>CAPM-WACC</vt:lpstr>
      <vt:lpstr>GOA</vt:lpstr>
      <vt:lpstr>Qn</vt:lpstr>
      <vt:lpstr>DF</vt:lpstr>
      <vt:lpstr>Pat</vt:lpstr>
      <vt:lpstr>Pt</vt:lpstr>
      <vt:lpstr>Kd</vt:lpstr>
      <vt:lpstr>t</vt:lpstr>
      <vt:lpstr>Calculo de Costo</vt:lpstr>
      <vt:lpstr>Costo Asociado</vt:lpstr>
      <vt:lpstr>Adjuntos</vt:lpstr>
      <vt:lpstr>'CAPM-WACC'!Área_de_impresión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Joselyn Gurdian Tenorio</dc:creator>
  <cp:lastModifiedBy>Juan Ricardo Wong Ruiz</cp:lastModifiedBy>
  <cp:lastPrinted>2020-11-10T00:19:33Z</cp:lastPrinted>
  <dcterms:created xsi:type="dcterms:W3CDTF">2019-10-18T16:36:22Z</dcterms:created>
  <dcterms:modified xsi:type="dcterms:W3CDTF">2023-08-01T14:43:04Z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0x010100EFBCC15400569442B84F03645001AD21</vt:lpwstr>
  </property>
  <property fmtid="{D5CDD505-2E9C-101B-9397-08002B2CF9AE}" pid="3" name="MediaServiceImageTags">
    <vt:lpwstr/>
  </property>
</Properties>
</file>